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S teenused\Tervisekassa leping ja aruandlus\Aruandlus\2025\"/>
    </mc:Choice>
  </mc:AlternateContent>
  <xr:revisionPtr revIDLastSave="0" documentId="13_ncr:1_{A1739AB7-D9D3-4405-ABD7-A40CA2666A84}" xr6:coauthVersionLast="47" xr6:coauthVersionMax="47" xr10:uidLastSave="{00000000-0000-0000-0000-000000000000}"/>
  <bookViews>
    <workbookView xWindow="30825" yWindow="3315" windowWidth="38190" windowHeight="15345" xr2:uid="{7C17DCAC-EDD9-449B-9781-40EFCC9CE39F}"/>
  </bookViews>
  <sheets>
    <sheet name="LISA 4" sheetId="1" r:id="rId1"/>
    <sheet name="LISA 2" sheetId="2" r:id="rId2"/>
  </sheets>
  <definedNames>
    <definedName name="_xlnm._FilterDatabase" localSheetId="1" hidden="1">'LISA 2'!$A$3:$O$42</definedName>
    <definedName name="_xlnm._FilterDatabase" localSheetId="0" hidden="1">'LISA 4'!$A$3:$O$30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" i="2" l="1"/>
  <c r="K39" i="2"/>
  <c r="K40" i="2" s="1"/>
  <c r="J39" i="2"/>
  <c r="K41" i="2"/>
  <c r="P8" i="2"/>
  <c r="P5" i="2"/>
  <c r="L5" i="2"/>
  <c r="C41" i="2"/>
  <c r="G42" i="2"/>
  <c r="G41" i="2"/>
  <c r="L35" i="2"/>
  <c r="J4" i="2"/>
  <c r="R4" i="2" l="1"/>
  <c r="G27" i="2" l="1"/>
  <c r="G24" i="2"/>
  <c r="Q21" i="1"/>
  <c r="P21" i="1"/>
  <c r="Q20" i="1"/>
  <c r="P20" i="1"/>
  <c r="Q19" i="1"/>
  <c r="P19" i="1"/>
  <c r="Q18" i="1"/>
  <c r="P18" i="1"/>
  <c r="Q17" i="1"/>
  <c r="P17" i="1"/>
  <c r="Q16" i="1"/>
  <c r="P16" i="1"/>
  <c r="L12" i="1" l="1"/>
  <c r="N12" i="1"/>
  <c r="O12" i="1"/>
  <c r="P12" i="1"/>
  <c r="Q12" i="1"/>
  <c r="R12" i="1"/>
  <c r="L21" i="1"/>
  <c r="M21" i="1" s="1"/>
  <c r="O21" i="1"/>
  <c r="R21" i="1"/>
  <c r="L20" i="1"/>
  <c r="M20" i="1" s="1"/>
  <c r="O20" i="1"/>
  <c r="R20" i="1"/>
  <c r="L19" i="1"/>
  <c r="M19" i="1" s="1"/>
  <c r="O19" i="1"/>
  <c r="R19" i="1"/>
  <c r="L18" i="1"/>
  <c r="M18" i="1" s="1"/>
  <c r="O18" i="1"/>
  <c r="R18" i="1"/>
  <c r="L17" i="1"/>
  <c r="O17" i="1"/>
  <c r="R17" i="1"/>
  <c r="L16" i="1"/>
  <c r="O16" i="1"/>
  <c r="R16" i="1"/>
  <c r="N21" i="1"/>
  <c r="N20" i="1"/>
  <c r="N19" i="1"/>
  <c r="N18" i="1"/>
  <c r="N17" i="1"/>
  <c r="N16" i="1"/>
  <c r="C16" i="1"/>
  <c r="C17" i="1"/>
  <c r="C18" i="1"/>
  <c r="C19" i="1"/>
  <c r="C20" i="1"/>
  <c r="C21" i="1"/>
  <c r="C22" i="1"/>
  <c r="C12" i="1"/>
  <c r="M17" i="1" l="1"/>
  <c r="M16" i="1"/>
  <c r="M12" i="1"/>
  <c r="L18" i="2"/>
  <c r="M18" i="2" s="1"/>
  <c r="N18" i="2"/>
  <c r="O18" i="2"/>
  <c r="P18" i="2"/>
  <c r="Q18" i="2"/>
  <c r="R18" i="2"/>
  <c r="C18" i="2"/>
  <c r="G14" i="2"/>
  <c r="H39" i="2"/>
  <c r="D4" i="2"/>
  <c r="C31" i="2"/>
  <c r="E39" i="2"/>
  <c r="D39" i="2"/>
  <c r="C36" i="2"/>
  <c r="Q36" i="2"/>
  <c r="P36" i="2"/>
  <c r="N36" i="2"/>
  <c r="I36" i="2"/>
  <c r="R36" i="2" s="1"/>
  <c r="K35" i="2"/>
  <c r="J35" i="2"/>
  <c r="I35" i="2"/>
  <c r="H35" i="2"/>
  <c r="G35" i="2"/>
  <c r="Q35" i="2" s="1"/>
  <c r="F35" i="2"/>
  <c r="P35" i="2" s="1"/>
  <c r="E35" i="2"/>
  <c r="O35" i="2" s="1"/>
  <c r="D35" i="2"/>
  <c r="N35" i="2" s="1"/>
  <c r="L32" i="2"/>
  <c r="O32" i="2"/>
  <c r="R32" i="2"/>
  <c r="N32" i="2"/>
  <c r="D30" i="2"/>
  <c r="E30" i="2"/>
  <c r="F30" i="2"/>
  <c r="G30" i="2"/>
  <c r="H30" i="2"/>
  <c r="I30" i="2"/>
  <c r="J30" i="2"/>
  <c r="K30" i="2"/>
  <c r="C32" i="2"/>
  <c r="L15" i="2"/>
  <c r="N15" i="2"/>
  <c r="O15" i="2"/>
  <c r="P15" i="2"/>
  <c r="Q15" i="2"/>
  <c r="R15" i="2"/>
  <c r="L16" i="2"/>
  <c r="M16" i="2" s="1"/>
  <c r="N16" i="2"/>
  <c r="O16" i="2"/>
  <c r="P16" i="2"/>
  <c r="Q16" i="2"/>
  <c r="R16" i="2"/>
  <c r="L17" i="2"/>
  <c r="N17" i="2"/>
  <c r="O17" i="2"/>
  <c r="P17" i="2"/>
  <c r="Q17" i="2"/>
  <c r="R17" i="2"/>
  <c r="C15" i="2"/>
  <c r="C16" i="2"/>
  <c r="C17" i="2"/>
  <c r="C6" i="2"/>
  <c r="E4" i="2"/>
  <c r="F4" i="2"/>
  <c r="G4" i="2"/>
  <c r="H4" i="2"/>
  <c r="I4" i="2"/>
  <c r="K4" i="2"/>
  <c r="M32" i="2" l="1"/>
  <c r="O36" i="2"/>
  <c r="R35" i="2"/>
  <c r="L36" i="2"/>
  <c r="C35" i="2"/>
  <c r="M17" i="2"/>
  <c r="N30" i="2"/>
  <c r="M15" i="2"/>
  <c r="M35" i="2" l="1"/>
  <c r="M36" i="2"/>
  <c r="I38" i="2" l="1"/>
  <c r="I26" i="1"/>
  <c r="R26" i="1" s="1"/>
  <c r="I4" i="1"/>
  <c r="O5" i="1"/>
  <c r="J25" i="1"/>
  <c r="K25" i="1"/>
  <c r="J6" i="1"/>
  <c r="K6" i="1"/>
  <c r="I6" i="1"/>
  <c r="I27" i="1"/>
  <c r="H27" i="1"/>
  <c r="J27" i="1"/>
  <c r="K27" i="1"/>
  <c r="I39" i="2"/>
  <c r="I20" i="2"/>
  <c r="I11" i="2"/>
  <c r="I7" i="2"/>
  <c r="R6" i="2" l="1"/>
  <c r="N5" i="2"/>
  <c r="N6" i="2"/>
  <c r="N8" i="2"/>
  <c r="N9" i="2"/>
  <c r="N10" i="2"/>
  <c r="N19" i="2"/>
  <c r="N21" i="2"/>
  <c r="N22" i="2"/>
  <c r="N23" i="2"/>
  <c r="N24" i="2"/>
  <c r="N25" i="2"/>
  <c r="N26" i="2"/>
  <c r="N27" i="2"/>
  <c r="N29" i="2"/>
  <c r="N31" i="2"/>
  <c r="N34" i="2"/>
  <c r="N38" i="2"/>
  <c r="O6" i="2"/>
  <c r="P6" i="2"/>
  <c r="Q6" i="2"/>
  <c r="L6" i="2"/>
  <c r="L4" i="2" s="1"/>
  <c r="M6" i="2" l="1"/>
  <c r="H14" i="2"/>
  <c r="N14" i="2" s="1"/>
  <c r="H12" i="2"/>
  <c r="L12" i="2" l="1"/>
  <c r="N12" i="2"/>
  <c r="H28" i="2"/>
  <c r="N28" i="2" s="1"/>
  <c r="H13" i="2"/>
  <c r="N13" i="2" s="1"/>
  <c r="H37" i="2" l="1"/>
  <c r="H33" i="2"/>
  <c r="H20" i="2"/>
  <c r="H11" i="2"/>
  <c r="H41" i="2" s="1"/>
  <c r="H7" i="2"/>
  <c r="N5" i="1"/>
  <c r="H25" i="1" l="1"/>
  <c r="H23" i="1"/>
  <c r="H6" i="1"/>
  <c r="C21" i="2" l="1"/>
  <c r="C22" i="2"/>
  <c r="C23" i="2"/>
  <c r="C24" i="2"/>
  <c r="C25" i="2"/>
  <c r="C26" i="2"/>
  <c r="C27" i="2"/>
  <c r="C28" i="2"/>
  <c r="C29" i="2"/>
  <c r="D20" i="2" l="1"/>
  <c r="N20" i="2" s="1"/>
  <c r="E20" i="2"/>
  <c r="F20" i="2"/>
  <c r="G20" i="2"/>
  <c r="J20" i="2"/>
  <c r="K20" i="2"/>
  <c r="C20" i="2"/>
  <c r="J11" i="2"/>
  <c r="K11" i="2"/>
  <c r="G11" i="2"/>
  <c r="D11" i="2"/>
  <c r="N11" i="2" s="1"/>
  <c r="J7" i="2"/>
  <c r="K7" i="2"/>
  <c r="D7" i="2"/>
  <c r="E7" i="2"/>
  <c r="F7" i="2"/>
  <c r="G7" i="2"/>
  <c r="R34" i="2"/>
  <c r="Q34" i="2"/>
  <c r="P34" i="2"/>
  <c r="O34" i="2"/>
  <c r="L34" i="2"/>
  <c r="L33" i="2" s="1"/>
  <c r="C34" i="2"/>
  <c r="C33" i="2" s="1"/>
  <c r="K33" i="2"/>
  <c r="J33" i="2"/>
  <c r="I33" i="2"/>
  <c r="G33" i="2"/>
  <c r="F33" i="2"/>
  <c r="E33" i="2"/>
  <c r="D33" i="2"/>
  <c r="N33" i="2" s="1"/>
  <c r="R31" i="2"/>
  <c r="Q31" i="2"/>
  <c r="P31" i="2"/>
  <c r="O31" i="2"/>
  <c r="L31" i="2"/>
  <c r="L30" i="2" s="1"/>
  <c r="C30" i="2"/>
  <c r="P30" i="2"/>
  <c r="O30" i="2"/>
  <c r="R21" i="2"/>
  <c r="Q21" i="2"/>
  <c r="P21" i="2"/>
  <c r="O21" i="2"/>
  <c r="L21" i="2"/>
  <c r="R25" i="2"/>
  <c r="Q25" i="2"/>
  <c r="P25" i="2"/>
  <c r="O25" i="2"/>
  <c r="L25" i="2"/>
  <c r="R24" i="2"/>
  <c r="Q24" i="2"/>
  <c r="P24" i="2"/>
  <c r="O24" i="2"/>
  <c r="L24" i="2"/>
  <c r="R23" i="2"/>
  <c r="Q23" i="2"/>
  <c r="P23" i="2"/>
  <c r="O23" i="2"/>
  <c r="L23" i="2"/>
  <c r="R22" i="2"/>
  <c r="Q22" i="2"/>
  <c r="P22" i="2"/>
  <c r="O22" i="2"/>
  <c r="L22" i="2"/>
  <c r="R27" i="2"/>
  <c r="Q27" i="2"/>
  <c r="P27" i="2"/>
  <c r="O27" i="2"/>
  <c r="L27" i="2"/>
  <c r="R26" i="2"/>
  <c r="Q26" i="2"/>
  <c r="P26" i="2"/>
  <c r="O26" i="2"/>
  <c r="L26" i="2"/>
  <c r="M26" i="2" s="1"/>
  <c r="R28" i="2"/>
  <c r="Q28" i="2"/>
  <c r="P28" i="2"/>
  <c r="O28" i="2"/>
  <c r="L28" i="2"/>
  <c r="R9" i="2"/>
  <c r="Q9" i="2"/>
  <c r="P9" i="2"/>
  <c r="O9" i="2"/>
  <c r="L9" i="2"/>
  <c r="C9" i="2"/>
  <c r="R8" i="2"/>
  <c r="Q8" i="2"/>
  <c r="O8" i="2"/>
  <c r="L8" i="2"/>
  <c r="C8" i="2"/>
  <c r="R10" i="2"/>
  <c r="Q10" i="2"/>
  <c r="P10" i="2"/>
  <c r="O10" i="2"/>
  <c r="L10" i="2"/>
  <c r="C10" i="2"/>
  <c r="G39" i="2"/>
  <c r="F39" i="2"/>
  <c r="O39" i="2"/>
  <c r="R38" i="2"/>
  <c r="Q38" i="2"/>
  <c r="P38" i="2"/>
  <c r="O38" i="2"/>
  <c r="L38" i="2"/>
  <c r="L37" i="2" s="1"/>
  <c r="C38" i="2"/>
  <c r="K37" i="2"/>
  <c r="J37" i="2"/>
  <c r="I37" i="2"/>
  <c r="G37" i="2"/>
  <c r="F37" i="2"/>
  <c r="E37" i="2"/>
  <c r="D37" i="2"/>
  <c r="N37" i="2" s="1"/>
  <c r="R29" i="2"/>
  <c r="Q29" i="2"/>
  <c r="P29" i="2"/>
  <c r="O29" i="2"/>
  <c r="L29" i="2"/>
  <c r="R19" i="2"/>
  <c r="Q19" i="2"/>
  <c r="P19" i="2"/>
  <c r="O19" i="2"/>
  <c r="L19" i="2"/>
  <c r="C19" i="2"/>
  <c r="R14" i="2"/>
  <c r="Q14" i="2"/>
  <c r="P14" i="2"/>
  <c r="O14" i="2"/>
  <c r="L14" i="2"/>
  <c r="C14" i="2"/>
  <c r="R13" i="2"/>
  <c r="Q13" i="2"/>
  <c r="P13" i="2"/>
  <c r="O13" i="2"/>
  <c r="L13" i="2"/>
  <c r="C13" i="2"/>
  <c r="R12" i="2"/>
  <c r="Q12" i="2"/>
  <c r="P12" i="2"/>
  <c r="O12" i="2"/>
  <c r="C12" i="2"/>
  <c r="F11" i="2"/>
  <c r="E11" i="2"/>
  <c r="Q5" i="2"/>
  <c r="O5" i="2"/>
  <c r="C5" i="2"/>
  <c r="C4" i="2" s="1"/>
  <c r="E27" i="1"/>
  <c r="O27" i="1" s="1"/>
  <c r="F27" i="1"/>
  <c r="G27" i="1"/>
  <c r="D27" i="1"/>
  <c r="C26" i="1"/>
  <c r="C25" i="1" s="1"/>
  <c r="D25" i="1"/>
  <c r="E25" i="1"/>
  <c r="F25" i="1"/>
  <c r="G25" i="1"/>
  <c r="D23" i="1"/>
  <c r="E23" i="1"/>
  <c r="F23" i="1"/>
  <c r="G23" i="1"/>
  <c r="C24" i="1"/>
  <c r="C23" i="1" s="1"/>
  <c r="D6" i="1"/>
  <c r="E6" i="1"/>
  <c r="O6" i="1" s="1"/>
  <c r="F6" i="1"/>
  <c r="G6" i="1"/>
  <c r="D4" i="1"/>
  <c r="E4" i="1"/>
  <c r="F4" i="1"/>
  <c r="G4" i="1"/>
  <c r="C15" i="1"/>
  <c r="C14" i="1"/>
  <c r="C13" i="1"/>
  <c r="C11" i="1"/>
  <c r="C10" i="1"/>
  <c r="C9" i="1"/>
  <c r="C8" i="1"/>
  <c r="C7" i="1"/>
  <c r="R9" i="1"/>
  <c r="Q9" i="1"/>
  <c r="P9" i="1"/>
  <c r="O9" i="1"/>
  <c r="N9" i="1"/>
  <c r="L9" i="1"/>
  <c r="R8" i="1"/>
  <c r="Q8" i="1"/>
  <c r="P8" i="1"/>
  <c r="O8" i="1"/>
  <c r="N8" i="1"/>
  <c r="L8" i="1"/>
  <c r="R7" i="1"/>
  <c r="Q7" i="1"/>
  <c r="P7" i="1"/>
  <c r="O7" i="1"/>
  <c r="N7" i="1"/>
  <c r="L7" i="1"/>
  <c r="R13" i="1"/>
  <c r="Q13" i="1"/>
  <c r="P13" i="1"/>
  <c r="O13" i="1"/>
  <c r="N13" i="1"/>
  <c r="L13" i="1"/>
  <c r="R11" i="1"/>
  <c r="Q11" i="1"/>
  <c r="P11" i="1"/>
  <c r="O11" i="1"/>
  <c r="N11" i="1"/>
  <c r="L11" i="1"/>
  <c r="R10" i="1"/>
  <c r="Q10" i="1"/>
  <c r="P10" i="1"/>
  <c r="O10" i="1"/>
  <c r="N10" i="1"/>
  <c r="L10" i="1"/>
  <c r="C5" i="1"/>
  <c r="C4" i="1" s="1"/>
  <c r="L20" i="2" l="1"/>
  <c r="L11" i="2"/>
  <c r="L7" i="2"/>
  <c r="P11" i="2"/>
  <c r="J41" i="2"/>
  <c r="F41" i="2"/>
  <c r="F40" i="2" s="1"/>
  <c r="R6" i="1"/>
  <c r="N6" i="1"/>
  <c r="R27" i="1"/>
  <c r="N27" i="1"/>
  <c r="E41" i="2"/>
  <c r="E40" i="2" s="1"/>
  <c r="N7" i="2"/>
  <c r="D41" i="2"/>
  <c r="D40" i="2" s="1"/>
  <c r="G40" i="2"/>
  <c r="C40" i="2" s="1"/>
  <c r="C39" i="2"/>
  <c r="M39" i="2" s="1"/>
  <c r="C7" i="2"/>
  <c r="C11" i="2"/>
  <c r="O33" i="2"/>
  <c r="I41" i="2"/>
  <c r="I40" i="2" s="1"/>
  <c r="N41" i="2"/>
  <c r="N4" i="2"/>
  <c r="N39" i="2"/>
  <c r="R39" i="2"/>
  <c r="L39" i="2"/>
  <c r="M33" i="2"/>
  <c r="P33" i="2"/>
  <c r="M20" i="2"/>
  <c r="M31" i="2"/>
  <c r="M30" i="2" s="1"/>
  <c r="M7" i="1"/>
  <c r="D29" i="1"/>
  <c r="C27" i="1"/>
  <c r="F29" i="1"/>
  <c r="G29" i="1"/>
  <c r="E29" i="1"/>
  <c r="M10" i="1"/>
  <c r="M34" i="2"/>
  <c r="M22" i="2"/>
  <c r="M21" i="2"/>
  <c r="M27" i="2"/>
  <c r="R33" i="2"/>
  <c r="Q33" i="2"/>
  <c r="R30" i="2"/>
  <c r="Q30" i="2"/>
  <c r="M25" i="2"/>
  <c r="M23" i="2"/>
  <c r="M24" i="2"/>
  <c r="M28" i="2"/>
  <c r="M29" i="2"/>
  <c r="M13" i="2"/>
  <c r="M8" i="2"/>
  <c r="M38" i="2"/>
  <c r="M19" i="2"/>
  <c r="O20" i="2"/>
  <c r="O37" i="2"/>
  <c r="M9" i="2"/>
  <c r="O7" i="2"/>
  <c r="P7" i="2"/>
  <c r="P20" i="2"/>
  <c r="Q20" i="2"/>
  <c r="Q11" i="2"/>
  <c r="P37" i="2"/>
  <c r="O11" i="2"/>
  <c r="M14" i="2"/>
  <c r="C37" i="2"/>
  <c r="M37" i="2" s="1"/>
  <c r="Q37" i="2"/>
  <c r="M10" i="2"/>
  <c r="Q7" i="2"/>
  <c r="R11" i="2"/>
  <c r="M5" i="2"/>
  <c r="M4" i="2" s="1"/>
  <c r="R7" i="2"/>
  <c r="R20" i="2"/>
  <c r="M12" i="2"/>
  <c r="R37" i="2"/>
  <c r="H40" i="2"/>
  <c r="O4" i="2"/>
  <c r="P4" i="2"/>
  <c r="Q4" i="2"/>
  <c r="M9" i="1"/>
  <c r="C6" i="1"/>
  <c r="M8" i="1"/>
  <c r="M11" i="1"/>
  <c r="M13" i="1"/>
  <c r="L41" i="2" l="1"/>
  <c r="L40" i="2"/>
  <c r="M41" i="2"/>
  <c r="J40" i="2"/>
  <c r="M40" i="2" s="1"/>
  <c r="G30" i="1"/>
  <c r="C29" i="1"/>
  <c r="N40" i="2"/>
  <c r="R41" i="2"/>
  <c r="O41" i="2"/>
  <c r="O40" i="2"/>
  <c r="M7" i="2"/>
  <c r="M11" i="2"/>
  <c r="R40" i="2"/>
  <c r="M27" i="1" l="1"/>
  <c r="Q26" i="1"/>
  <c r="O26" i="1"/>
  <c r="N26" i="1"/>
  <c r="L26" i="1"/>
  <c r="Q25" i="1"/>
  <c r="I25" i="1"/>
  <c r="R24" i="1"/>
  <c r="Q24" i="1"/>
  <c r="P24" i="1"/>
  <c r="O24" i="1"/>
  <c r="N24" i="1"/>
  <c r="L24" i="1"/>
  <c r="M24" i="1" s="1"/>
  <c r="K23" i="1"/>
  <c r="J23" i="1"/>
  <c r="I23" i="1"/>
  <c r="R22" i="1"/>
  <c r="Q22" i="1"/>
  <c r="P22" i="1"/>
  <c r="O22" i="1"/>
  <c r="N22" i="1"/>
  <c r="L22" i="1"/>
  <c r="M22" i="1" s="1"/>
  <c r="R15" i="1"/>
  <c r="Q15" i="1"/>
  <c r="P15" i="1"/>
  <c r="O15" i="1"/>
  <c r="N15" i="1"/>
  <c r="L15" i="1"/>
  <c r="R14" i="1"/>
  <c r="Q14" i="1"/>
  <c r="P14" i="1"/>
  <c r="O14" i="1"/>
  <c r="N14" i="1"/>
  <c r="L14" i="1"/>
  <c r="R5" i="1"/>
  <c r="Q5" i="1"/>
  <c r="P5" i="1"/>
  <c r="L5" i="1"/>
  <c r="L4" i="1" s="1"/>
  <c r="K4" i="1"/>
  <c r="J4" i="1"/>
  <c r="H4" i="1"/>
  <c r="H29" i="1" s="1"/>
  <c r="J29" i="1" l="1"/>
  <c r="J28" i="1" s="1"/>
  <c r="H28" i="1"/>
  <c r="N29" i="1"/>
  <c r="K29" i="1"/>
  <c r="O23" i="1"/>
  <c r="I29" i="1"/>
  <c r="M15" i="1"/>
  <c r="L27" i="1"/>
  <c r="M14" i="1"/>
  <c r="L6" i="1"/>
  <c r="M6" i="1" s="1"/>
  <c r="M4" i="1"/>
  <c r="Q6" i="1"/>
  <c r="O25" i="1"/>
  <c r="P23" i="1"/>
  <c r="O4" i="1"/>
  <c r="E28" i="1"/>
  <c r="F28" i="1"/>
  <c r="D28" i="1"/>
  <c r="Q23" i="1"/>
  <c r="P6" i="1"/>
  <c r="P4" i="1"/>
  <c r="Q4" i="1"/>
  <c r="N25" i="1"/>
  <c r="R23" i="1"/>
  <c r="L23" i="1"/>
  <c r="M23" i="1" s="1"/>
  <c r="M5" i="1"/>
  <c r="R4" i="1"/>
  <c r="K28" i="1"/>
  <c r="L25" i="1"/>
  <c r="M25" i="1" s="1"/>
  <c r="M26" i="1"/>
  <c r="N23" i="1"/>
  <c r="P26" i="1"/>
  <c r="N4" i="1"/>
  <c r="N28" i="1" l="1"/>
  <c r="L29" i="1"/>
  <c r="L28" i="1" s="1"/>
  <c r="O29" i="1"/>
  <c r="R29" i="1"/>
  <c r="I28" i="1"/>
  <c r="G28" i="1"/>
  <c r="C28" i="1" s="1"/>
  <c r="R25" i="1"/>
  <c r="P25" i="1"/>
  <c r="M29" i="1"/>
  <c r="R28" i="1" l="1"/>
  <c r="O28" i="1"/>
  <c r="M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tc={BD049B3B-A6F2-3A4A-9CD3-0162054E4A9F}</author>
    <author>tc={743B6020-A294-8646-B6E6-ACA909477742}</author>
    <author>tc={8B5030C2-B791-8040-BFA2-6093194259B7}</author>
    <author>tc={6DB968C2-06A2-854D-8350-92C1EF35D254}</author>
    <author>tc={CDEB66CD-AE26-6241-8E75-B4EBA78F0AB8}</author>
    <author>tc={1256DE23-AF5E-F34E-A4D3-18C3D2644B50}</author>
    <author>tc={98F91771-5F4D-174F-A478-8CB9CD7B9974}</author>
  </authors>
  <commentList>
    <comment ref="G12" authorId="0" shapeId="0" xr:uid="{BD049B3B-A6F2-3A4A-9CD3-0162054E4A9F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29.09 TerK AK-s sai lisatud eelarve + 65K</t>
        </r>
      </text>
    </comment>
    <comment ref="G14" authorId="1" shapeId="0" xr:uid="{743B6020-A294-8646-B6E6-ACA909477742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29.09 TerK AK-s sai lisatud eelarve: +150K</t>
        </r>
      </text>
    </comment>
    <comment ref="G18" authorId="2" shapeId="0" xr:uid="{8B5030C2-B791-8040-BFA2-6093194259B7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29.09 TerK AK-s kooskõlastatud uus projekt</t>
        </r>
      </text>
    </comment>
    <comment ref="G23" authorId="3" shapeId="0" xr:uid="{6DB968C2-06A2-854D-8350-92C1EF35D254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13.10 TerK AK-s lõpetada projekti ja suunata alles jänud eelarve jääk (plaaneritud 71 951) teiste projektidesse</t>
        </r>
      </text>
    </comment>
    <comment ref="G24" authorId="4" shapeId="0" xr:uid="{CDEB66CD-AE26-6241-8E75-B4EBA78F0AB8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13.10  TerK AK-s sai lisatud eelarve: +60K</t>
        </r>
      </text>
    </comment>
    <comment ref="G27" authorId="5" shapeId="0" xr:uid="{1256DE23-AF5E-F34E-A4D3-18C3D2644B5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13.10 TerK AK-s sai lisatud eelarve + 12K</t>
        </r>
      </text>
    </comment>
    <comment ref="G28" authorId="6" shapeId="0" xr:uid="{98F91771-5F4D-174F-A478-8CB9CD7B9974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13.10 TerK AK-s sai lisatud eelarve + 65K</t>
        </r>
      </text>
    </comment>
  </commentList>
</comments>
</file>

<file path=xl/sharedStrings.xml><?xml version="1.0" encoding="utf-8"?>
<sst xmlns="http://schemas.openxmlformats.org/spreadsheetml/2006/main" count="149" uniqueCount="92">
  <si>
    <t>ACT</t>
  </si>
  <si>
    <r>
      <t xml:space="preserve">Tootetiim 
       </t>
    </r>
    <r>
      <rPr>
        <sz val="11"/>
        <color theme="0"/>
        <rFont val="Raleway Regular"/>
      </rPr>
      <t>Investeeringu täpsustus</t>
    </r>
  </si>
  <si>
    <t>Kvartal 1 (täitmine, €)</t>
  </si>
  <si>
    <t>Kvartal 2 (täitmine, €)</t>
  </si>
  <si>
    <t>Kvartal 3 (täitmine, €)</t>
  </si>
  <si>
    <t>Kvartal 4 (täitmine, €)</t>
  </si>
  <si>
    <t>Jääk, €</t>
  </si>
  <si>
    <t>Kvartal 1 (täitmine %)</t>
  </si>
  <si>
    <t>Kvartal 2 (täitmine %)</t>
  </si>
  <si>
    <t>Kvartal 3 (täitmine %)</t>
  </si>
  <si>
    <t>Kvartal 4 (täitmine %)</t>
  </si>
  <si>
    <t>Suunamised</t>
  </si>
  <si>
    <t>Terviseportaal</t>
  </si>
  <si>
    <t>Tööjõukulu kokku (PEX)</t>
  </si>
  <si>
    <t>Investeering (CAPEX)</t>
  </si>
  <si>
    <t>KOKKU (kvartali kaupa)</t>
  </si>
  <si>
    <t>2025 investeeringute ja teostatud tööde aruanne</t>
  </si>
  <si>
    <t>2025 täitmine kokku (km-ga)</t>
  </si>
  <si>
    <t>2025 eelarve</t>
  </si>
  <si>
    <t>PROJ-4127 EST2EHDS - Terviseandmeruum teiseseks kasutamiseks (OF 10%)</t>
  </si>
  <si>
    <t>FC*</t>
  </si>
  <si>
    <t>upTIS baasplatvorm</t>
  </si>
  <si>
    <t>PROJ-4217 Juurdepääsuõiguste mooduli täiendamine sündmuspõhise andmevahetuse baasteenuste vajadustest lähtuvalt ning andmete sulgemise lahenduse loomine</t>
  </si>
  <si>
    <t>PROJ-4217 TEHIK tööjõukulu (I PA analüütik 0,5FTE, tooteomanik 0,1FTE, testija 0,2FTE)</t>
  </si>
  <si>
    <t>PROJ-4452 Andmekvaliteedi valideerimise ja kontrollimise mooduli väljatöötamine</t>
  </si>
  <si>
    <t>PROJ-4452 TEHIK tööjõukulu (analüütik 0,3FTE, tooteomanik 0,1FTE, testija 0,2FTE, arhitekt 0,05FTE)</t>
  </si>
  <si>
    <t>PROJ-4804 Sündmuspõhise andmevahetuse baasteenuste loomine</t>
  </si>
  <si>
    <t>PROJ-4804 TEHIK tööjõukulu (I PA analüütik 2,5FTE, tooteomanik 0,2FTE, arhitekt 0,05FTE)</t>
  </si>
  <si>
    <t>PROJ-4810 upTIS mikroteenuste tootestamine 2025 I poolaastal</t>
  </si>
  <si>
    <t>PROJ-4810 TEHIK tööjõukulu (tooteomanik 0,5FTE, testija 0,8FTE, arhitekt 0,15FTE)</t>
  </si>
  <si>
    <t>Eelarvestatud tootetiim, TEHIK tööjõukulu** (tooteomanik 1FTE, testija 0,9FTE, arhitekt 0,15FTE, ScM 1,0FTE)</t>
  </si>
  <si>
    <t>2025 täitmine kokku</t>
  </si>
  <si>
    <t xml:space="preserve"> Tervisejuhtimise töölaud</t>
  </si>
  <si>
    <t>PROJ-4186 PÜT terviklik juurutus TJTs</t>
  </si>
  <si>
    <t>Andmekorraldus ja ärianalüüs</t>
  </si>
  <si>
    <t>Eelarvestatud TEHIK tööjõukulu (analüütikud 1,6-4,3FTE)</t>
  </si>
  <si>
    <t>KOKKU (2025 Aasta)</t>
  </si>
  <si>
    <t xml:space="preserve"> Andmelaod ja analüütika</t>
  </si>
  <si>
    <t>PROJ-4386 Tervisekassa andmete TEHIKu andmelattu toomine (AOT alategevus V) (2025)</t>
  </si>
  <si>
    <t>PROJ-4729 Radioloogia uuringute ärianalüüs ja tellimuste loendite kehtestamine CDA platvormil</t>
  </si>
  <si>
    <t>PROJ-4729 TEHIK tööjõukulu (analüütikud 0,3-1FTE)</t>
  </si>
  <si>
    <t>Eelarvestatud tootetiim, TEHIK tööjõukulu** (tooteomanik 1,0 FTE)</t>
  </si>
  <si>
    <t>Teabekeskus</t>
  </si>
  <si>
    <t>PROJ-4214 Teavitused ja meeldetuletused terviseportaalis</t>
  </si>
  <si>
    <t>PROJ-4215 Ravimiskeem terviseportaalis</t>
  </si>
  <si>
    <t>PROJ-4223 Terviseportaali sisuhaldusega maandumislehe arendus</t>
  </si>
  <si>
    <t>PROJ-4188 Ravimiskeemi kommenteerimine</t>
  </si>
  <si>
    <t>PROJ-4222 GovSSO lahenduse juurutamine TTOde süsteemides</t>
  </si>
  <si>
    <t>PROJ-4467 Käsimüügiravimid ja patsiendi sõnul ravimid (toidulisandid)</t>
  </si>
  <si>
    <t>PROJ-4469 Retseptide ja väljaostetud ravimite jäägi ülevaade (ravijärgimuse suurendamine)</t>
  </si>
  <si>
    <t>PROJ-4465 Perearsti kvaliteedisüsteemi (PKS) PowerBI arendused TJT-sse</t>
  </si>
  <si>
    <t>PROJ-4470 Teavituste teenus TJT-sse</t>
  </si>
  <si>
    <t>PROJ-4866 Neerufunktsioon ravimiskeemis</t>
  </si>
  <si>
    <t>PROJ-4867 Ravimiskeemi juurutamine</t>
  </si>
  <si>
    <t>Personaalmeditsiin</t>
  </si>
  <si>
    <t>PROJ-4278 Personaalmeditsiini rakendamine ja IT-taristu jätkuarendused lähtuvalt rinnavähi PRS teenuse vajadustest</t>
  </si>
  <si>
    <t>Ravimilahendused (uus)</t>
  </si>
  <si>
    <t>Eelarvestatud TEHIK tööjõukulu** (analüütikud 1,1-1,3FTE)</t>
  </si>
  <si>
    <t>Kvartal 1 (planeeritud, €)</t>
  </si>
  <si>
    <t>Kvartal 2 (planeeritud, €)</t>
  </si>
  <si>
    <t>Kvartal 3 (planeeritud, €)</t>
  </si>
  <si>
    <t>Kvartal 4 (planeeritud, €)</t>
  </si>
  <si>
    <t>Kulukoht</t>
  </si>
  <si>
    <t>INNO16 - STEEL arendus</t>
  </si>
  <si>
    <t>INNO15 - Radioloogia</t>
  </si>
  <si>
    <t>INNO17 - Tervisep teavitused</t>
  </si>
  <si>
    <t>INNO7 - Raviskeem Tervisep</t>
  </si>
  <si>
    <t>INNO14 - Terviseportaali sisuhaldus</t>
  </si>
  <si>
    <t>INNO10 - Ravimiskeem komment</t>
  </si>
  <si>
    <t>INNO12 - TJT govSSO</t>
  </si>
  <si>
    <t>INNO11 - Raviiskeem käsimüük</t>
  </si>
  <si>
    <t>INNO9 - Ravimiskeem ravijärg</t>
  </si>
  <si>
    <t>INNO18 - PKS TJTs</t>
  </si>
  <si>
    <t>INNO13 - TJT teavitused</t>
  </si>
  <si>
    <t>INNO19 - Neerufun ravimiskeem</t>
  </si>
  <si>
    <t>INNO8 - Ravimiskeem annust</t>
  </si>
  <si>
    <t>INNO3 - Person med arendused</t>
  </si>
  <si>
    <t>PROJ-4386 TEHIK tööjõukulu</t>
  </si>
  <si>
    <t>PROJ-4937 Vabatahtlik ravikindlustus Terviseportaalis</t>
  </si>
  <si>
    <t>PROJ-4955 Uuringud- ÜDR analüüs 2025</t>
  </si>
  <si>
    <t>PROJ-4976 ÜDR mikroteenuste arhitektuuri kaasajastamine, PAIS liidese sulgemine ja TJT lahenduse väljatöötamine</t>
  </si>
  <si>
    <t>PROJ-4278 TEHIK tööjõukulu</t>
  </si>
  <si>
    <t>Muud</t>
  </si>
  <si>
    <t>PROJ-4123 Raseduse andmete digitaliseerimine</t>
  </si>
  <si>
    <t>Väiketööd 2025</t>
  </si>
  <si>
    <t>PROJ-4567 upTIS kompetentsi juhtimine ja koostöö võimestamine 2025</t>
  </si>
  <si>
    <t>PROJ-4225 PÜT hooldus, arendus- ja juurutustööd</t>
  </si>
  <si>
    <t>PROJ-4165 TKRIN arendus</t>
  </si>
  <si>
    <t>PROJ-4208 Veateated ja alarmid</t>
  </si>
  <si>
    <t>PROJ-4238 AUDIT andmejälgija teenuse jätkuarendustööd</t>
  </si>
  <si>
    <t>PROJ-4277 KMIN ületoomine WM platvorvmile</t>
  </si>
  <si>
    <t>PROJ-4206 RIA nõusolekuteenuse jätkuarendustööd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</si>
</sst>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€&quot;;\-#,##0\ &quot;€&quot;"/>
    <numFmt numFmtId="164" formatCode="_-&quot;€&quot;* #,##0_-;\-&quot;€&quot;* #,##0_-;_-&quot;€&quot;* &quot;-&quot;??_-;_-@_-"/>
    <numFmt numFmtId="165" formatCode="_-* #,##0\ &quot;€&quot;_-;\-* #,##0\ &quot;€&quot;_-;_-* &quot;-&quot;??\ &quot;€&quot;_-;_-@_-"/>
  </numFmts>
  <fonts count="1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Raleway Regular"/>
    </font>
    <font>
      <b/>
      <sz val="16"/>
      <color theme="3"/>
      <name val="Raleway Regular"/>
    </font>
    <font>
      <b/>
      <sz val="11"/>
      <color theme="4"/>
      <name val="Raleway Regular"/>
    </font>
    <font>
      <b/>
      <sz val="11"/>
      <color rgb="FF00B050"/>
      <name val="Raleway Regular"/>
    </font>
    <font>
      <sz val="11"/>
      <color theme="0"/>
      <name val="Raleway Regular"/>
    </font>
    <font>
      <b/>
      <sz val="11"/>
      <color theme="0"/>
      <name val="Raleway Regular"/>
    </font>
    <font>
      <b/>
      <sz val="11"/>
      <color theme="1"/>
      <name val="Raleway Regular"/>
    </font>
    <font>
      <b/>
      <sz val="11"/>
      <color theme="2" tint="-0.749992370372631"/>
      <name val="Raleway Regular"/>
      <charset val="186"/>
    </font>
    <font>
      <b/>
      <sz val="11"/>
      <name val="Raleway Regular"/>
    </font>
    <font>
      <sz val="11"/>
      <name val="Raleway Regular"/>
    </font>
    <font>
      <sz val="11"/>
      <color theme="2" tint="-0.749992370372631"/>
      <name val="Raleway Regular"/>
      <charset val="186"/>
    </font>
    <font>
      <sz val="11"/>
      <color rgb="FFFF0000"/>
      <name val="Raleway Regular"/>
    </font>
    <font>
      <sz val="11"/>
      <color theme="2" tint="-0.749992370372631"/>
      <name val="Raleway Regular"/>
    </font>
    <font>
      <sz val="11"/>
      <color rgb="FF393939"/>
      <name val="Raleway Regula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rgb="FF44B3E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8" fillId="4" borderId="1" xfId="0" applyFont="1" applyFill="1" applyBorder="1" applyAlignment="1">
      <alignment horizontal="left" vertical="center" wrapText="1"/>
    </xf>
    <xf numFmtId="5" fontId="8" fillId="4" borderId="1" xfId="0" applyNumberFormat="1" applyFont="1" applyFill="1" applyBorder="1" applyAlignment="1">
      <alignment horizontal="right" vertical="center"/>
    </xf>
    <xf numFmtId="164" fontId="9" fillId="4" borderId="1" xfId="0" applyNumberFormat="1" applyFont="1" applyFill="1" applyBorder="1" applyAlignment="1">
      <alignment vertical="center"/>
    </xf>
    <xf numFmtId="164" fontId="10" fillId="4" borderId="1" xfId="0" applyNumberFormat="1" applyFont="1" applyFill="1" applyBorder="1" applyAlignment="1">
      <alignment vertical="center"/>
    </xf>
    <xf numFmtId="9" fontId="9" fillId="4" borderId="1" xfId="1" applyFont="1" applyFill="1" applyBorder="1" applyAlignment="1">
      <alignment vertical="center"/>
    </xf>
    <xf numFmtId="9" fontId="2" fillId="0" borderId="0" xfId="1" applyFont="1" applyAlignment="1">
      <alignment vertical="center"/>
    </xf>
    <xf numFmtId="9" fontId="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9" fontId="11" fillId="0" borderId="0" xfId="1" applyFont="1" applyAlignment="1">
      <alignment vertical="center"/>
    </xf>
    <xf numFmtId="9" fontId="12" fillId="0" borderId="0" xfId="1" applyFont="1" applyAlignment="1">
      <alignment vertical="center"/>
    </xf>
    <xf numFmtId="0" fontId="2" fillId="0" borderId="0" xfId="0" applyFont="1" applyAlignment="1">
      <alignment horizontal="left" vertical="center" wrapText="1" indent="7"/>
    </xf>
    <xf numFmtId="164" fontId="14" fillId="0" borderId="2" xfId="0" applyNumberFormat="1" applyFont="1" applyBorder="1" applyAlignment="1" applyProtection="1">
      <alignment vertical="center"/>
      <protection locked="0"/>
    </xf>
    <xf numFmtId="164" fontId="11" fillId="0" borderId="2" xfId="0" applyNumberFormat="1" applyFont="1" applyBorder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9" fontId="11" fillId="0" borderId="2" xfId="1" applyFont="1" applyBorder="1" applyAlignment="1" applyProtection="1">
      <alignment vertical="center"/>
      <protection locked="0"/>
    </xf>
    <xf numFmtId="164" fontId="14" fillId="0" borderId="3" xfId="0" applyNumberFormat="1" applyFont="1" applyBorder="1" applyAlignment="1">
      <alignment vertical="center"/>
    </xf>
    <xf numFmtId="164" fontId="15" fillId="0" borderId="4" xfId="0" applyNumberFormat="1" applyFont="1" applyBorder="1" applyAlignment="1">
      <alignment vertical="center"/>
    </xf>
    <xf numFmtId="164" fontId="11" fillId="0" borderId="3" xfId="0" applyNumberFormat="1" applyFont="1" applyBorder="1" applyAlignment="1">
      <alignment vertical="center"/>
    </xf>
    <xf numFmtId="9" fontId="15" fillId="0" borderId="4" xfId="1" applyFont="1" applyBorder="1" applyAlignment="1">
      <alignment vertical="center"/>
    </xf>
    <xf numFmtId="0" fontId="7" fillId="3" borderId="0" xfId="0" applyFont="1" applyFill="1" applyAlignment="1">
      <alignment horizontal="left" vertical="center"/>
    </xf>
    <xf numFmtId="165" fontId="7" fillId="3" borderId="0" xfId="0" applyNumberFormat="1" applyFont="1" applyFill="1" applyAlignment="1">
      <alignment horizontal="right" vertical="center"/>
    </xf>
    <xf numFmtId="164" fontId="7" fillId="3" borderId="0" xfId="0" applyNumberFormat="1" applyFont="1" applyFill="1" applyAlignment="1">
      <alignment vertical="center"/>
    </xf>
    <xf numFmtId="9" fontId="7" fillId="3" borderId="0" xfId="1" applyFont="1" applyFill="1" applyAlignment="1">
      <alignment vertical="center"/>
    </xf>
    <xf numFmtId="0" fontId="7" fillId="3" borderId="3" xfId="0" applyFont="1" applyFill="1" applyBorder="1" applyAlignment="1">
      <alignment horizontal="left" vertical="center"/>
    </xf>
    <xf numFmtId="165" fontId="7" fillId="3" borderId="3" xfId="0" applyNumberFormat="1" applyFont="1" applyFill="1" applyBorder="1" applyAlignment="1">
      <alignment horizontal="right" vertical="center"/>
    </xf>
    <xf numFmtId="164" fontId="7" fillId="3" borderId="3" xfId="0" applyNumberFormat="1" applyFont="1" applyFill="1" applyBorder="1" applyAlignment="1">
      <alignment vertical="center"/>
    </xf>
    <xf numFmtId="9" fontId="7" fillId="3" borderId="3" xfId="1" applyFont="1" applyFill="1" applyBorder="1" applyAlignment="1">
      <alignment vertical="center"/>
    </xf>
    <xf numFmtId="0" fontId="7" fillId="3" borderId="5" xfId="0" applyFont="1" applyFill="1" applyBorder="1" applyAlignment="1">
      <alignment horizontal="left" vertical="center"/>
    </xf>
    <xf numFmtId="164" fontId="7" fillId="3" borderId="5" xfId="0" applyNumberFormat="1" applyFont="1" applyFill="1" applyBorder="1" applyAlignment="1">
      <alignment vertical="center"/>
    </xf>
    <xf numFmtId="9" fontId="7" fillId="3" borderId="5" xfId="1" applyFont="1" applyFill="1" applyBorder="1" applyAlignment="1">
      <alignment vertical="center"/>
    </xf>
    <xf numFmtId="164" fontId="7" fillId="3" borderId="0" xfId="0" applyNumberFormat="1" applyFont="1" applyFill="1" applyAlignment="1">
      <alignment horizontal="right" vertical="center"/>
    </xf>
    <xf numFmtId="3" fontId="2" fillId="0" borderId="0" xfId="0" applyNumberFormat="1" applyFont="1"/>
    <xf numFmtId="0" fontId="8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164" fontId="14" fillId="0" borderId="0" xfId="0" applyNumberFormat="1" applyFont="1" applyAlignment="1" applyProtection="1">
      <alignment vertical="center"/>
      <protection locked="0"/>
    </xf>
    <xf numFmtId="9" fontId="11" fillId="0" borderId="0" xfId="1" applyFont="1" applyBorder="1" applyAlignment="1" applyProtection="1">
      <alignment vertical="center"/>
      <protection locked="0"/>
    </xf>
    <xf numFmtId="164" fontId="2" fillId="0" borderId="3" xfId="0" applyNumberFormat="1" applyFont="1" applyBorder="1" applyAlignment="1">
      <alignment horizontal="right" vertical="center"/>
    </xf>
    <xf numFmtId="164" fontId="14" fillId="0" borderId="3" xfId="0" applyNumberFormat="1" applyFont="1" applyBorder="1" applyAlignment="1" applyProtection="1">
      <alignment vertical="center"/>
      <protection locked="0"/>
    </xf>
    <xf numFmtId="164" fontId="11" fillId="0" borderId="3" xfId="0" applyNumberFormat="1" applyFont="1" applyBorder="1" applyAlignment="1" applyProtection="1">
      <alignment vertical="center"/>
      <protection locked="0"/>
    </xf>
    <xf numFmtId="9" fontId="11" fillId="0" borderId="3" xfId="1" applyFont="1" applyBorder="1" applyAlignment="1" applyProtection="1">
      <alignment vertical="center"/>
      <protection locked="0"/>
    </xf>
    <xf numFmtId="164" fontId="13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3" fontId="2" fillId="0" borderId="0" xfId="1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164" fontId="14" fillId="0" borderId="0" xfId="0" applyNumberFormat="1" applyFont="1" applyAlignment="1">
      <alignment vertical="center"/>
    </xf>
    <xf numFmtId="164" fontId="15" fillId="0" borderId="0" xfId="0" applyNumberFormat="1" applyFont="1" applyAlignment="1">
      <alignment vertical="center"/>
    </xf>
    <xf numFmtId="9" fontId="15" fillId="0" borderId="0" xfId="1" applyFont="1" applyBorder="1" applyAlignment="1">
      <alignment vertical="center"/>
    </xf>
    <xf numFmtId="164" fontId="11" fillId="5" borderId="0" xfId="0" applyNumberFormat="1" applyFont="1" applyFill="1" applyAlignment="1">
      <alignment vertical="center"/>
    </xf>
    <xf numFmtId="164" fontId="11" fillId="5" borderId="0" xfId="0" applyNumberFormat="1" applyFont="1" applyFill="1" applyAlignment="1" applyProtection="1">
      <alignment vertical="center"/>
      <protection locked="0"/>
    </xf>
    <xf numFmtId="164" fontId="11" fillId="0" borderId="0" xfId="0" applyNumberFormat="1" applyFont="1" applyFill="1" applyAlignment="1">
      <alignment vertical="center"/>
    </xf>
    <xf numFmtId="164" fontId="12" fillId="0" borderId="0" xfId="0" applyNumberFormat="1" applyFont="1" applyFill="1" applyAlignment="1">
      <alignment vertical="center"/>
    </xf>
    <xf numFmtId="164" fontId="15" fillId="0" borderId="0" xfId="0" applyNumberFormat="1" applyFont="1" applyFill="1" applyAlignment="1">
      <alignment vertical="center"/>
    </xf>
    <xf numFmtId="164" fontId="15" fillId="0" borderId="4" xfId="0" applyNumberFormat="1" applyFont="1" applyFill="1" applyBorder="1" applyAlignment="1">
      <alignment vertical="center"/>
    </xf>
    <xf numFmtId="0" fontId="2" fillId="0" borderId="0" xfId="0" applyFont="1" applyAlignment="1">
      <alignment horizontal="left" wrapText="1"/>
    </xf>
  </cellXfs>
  <cellStyles count="2">
    <cellStyle name="Normaallaad" xfId="0" builtinId="0"/>
    <cellStyle name="Protsent" xfId="1" builtinId="5"/>
  </cellStyles>
  <dxfs count="1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92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man Kostrõkin" id="{77C32D5D-B3BD-6E4F-A013-CF69B828A1D3}" userId="S::roman.kostrokin@tehik.ee::d33083e6-bfd5-4d4c-b09d-eed7922ce560" providerId="AD"/>
</personList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2" dT="2025-10-18T07:40:27.46" personId="{77C32D5D-B3BD-6E4F-A013-CF69B828A1D3}" id="{BD049B3B-A6F2-3A4A-9CD3-0162054E4A9F}">
    <text>29.09 TerK AK-s sai lisatud eelarve + 65K</text>
  </threadedComment>
  <threadedComment ref="G14" dT="2025-10-18T07:41:00.30" personId="{77C32D5D-B3BD-6E4F-A013-CF69B828A1D3}" id="{743B6020-A294-8646-B6E6-ACA909477742}">
    <text>29.09 TerK AK-s sai lisatud eelarve: +150K</text>
  </threadedComment>
  <threadedComment ref="G18" dT="2025-10-18T07:41:28.34" personId="{77C32D5D-B3BD-6E4F-A013-CF69B828A1D3}" id="{8B5030C2-B791-8040-BFA2-6093194259B7}">
    <text>29.09 TerK AK-s kooskõlastatud uus projekt</text>
  </threadedComment>
  <threadedComment ref="G23" dT="2025-10-18T07:41:28.34" personId="{77C32D5D-B3BD-6E4F-A013-CF69B828A1D3}" id="{6DB968C2-06A2-854D-8350-92C1EF35D254}">
    <text>13.10 TerK AK-s lõpetada projekti ja suunata alles jänud eelarve jääk (plaaneritud 72 037) teiste projektidesse</text>
  </threadedComment>
  <threadedComment ref="G24" dT="2025-10-18T07:49:05.58" personId="{77C32D5D-B3BD-6E4F-A013-CF69B828A1D3}" id="{CDEB66CD-AE26-6241-8E75-B4EBA78F0AB8}">
    <text>13.10  TerK AK-s sai lisatud eelarve: +60K</text>
  </threadedComment>
  <threadedComment ref="G27" dT="2025-10-20T06:07:31.14" personId="{77C32D5D-B3BD-6E4F-A013-CF69B828A1D3}" id="{1256DE23-AF5E-F34E-A4D3-18C3D2644B50}">
    <text>13.10 TerK AK-s sai lisatud eelarve + 12K</text>
  </threadedComment>
  <threadedComment ref="G28" dT="2025-10-18T07:40:27.46" personId="{77C32D5D-B3BD-6E4F-A013-CF69B828A1D3}" id="{98F91771-5F4D-174F-A478-8CB9CD7B9974}">
    <text>13.10 TerK AK-s sai lisatud eelarve + 65K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7031D-DF66-402B-82D3-44428D9B67B7}">
  <dimension ref="A1:U38"/>
  <sheetViews>
    <sheetView tabSelected="1" zoomScale="80" zoomScaleNormal="80" workbookViewId="0">
      <pane xSplit="2" ySplit="3" topLeftCell="C4" activePane="bottomRight" state="frozen"/>
      <selection activeCell="B1" sqref="B1"/>
      <selection pane="topRight" activeCell="C1" sqref="C1"/>
      <selection pane="bottomLeft" activeCell="B4" sqref="B4"/>
      <selection pane="bottomRight" activeCell="L29" sqref="L29"/>
    </sheetView>
  </sheetViews>
  <sheetFormatPr defaultColWidth="12.125" defaultRowHeight="15.95" customHeight="1"/>
  <cols>
    <col min="1" max="1" width="0.5" style="1" customWidth="1"/>
    <col min="2" max="2" width="76.625" style="1" customWidth="1"/>
    <col min="3" max="3" width="17.625" style="6" customWidth="1"/>
    <col min="4" max="10" width="16.625" style="1" customWidth="1"/>
    <col min="11" max="11" width="16.625" style="1" hidden="1" customWidth="1"/>
    <col min="12" max="13" width="16.625" style="1" customWidth="1"/>
    <col min="14" max="16" width="14.625" style="1" customWidth="1"/>
    <col min="17" max="17" width="14.625" style="1" hidden="1" customWidth="1"/>
    <col min="18" max="18" width="14.625" style="1" customWidth="1"/>
    <col min="19" max="16384" width="12.125" style="1"/>
  </cols>
  <sheetData>
    <row r="1" spans="1:21" ht="20.25">
      <c r="B1" s="2" t="s">
        <v>16</v>
      </c>
      <c r="C1" s="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4"/>
      <c r="Q1" s="4"/>
    </row>
    <row r="2" spans="1:21" ht="15">
      <c r="B2" s="5"/>
      <c r="D2" s="7" t="s">
        <v>20</v>
      </c>
      <c r="E2" s="7" t="s">
        <v>20</v>
      </c>
      <c r="F2" s="7" t="s">
        <v>20</v>
      </c>
      <c r="G2" s="7" t="s">
        <v>20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</row>
    <row r="3" spans="1:21" s="13" customFormat="1" ht="42" customHeight="1">
      <c r="A3" s="9"/>
      <c r="B3" s="10" t="s">
        <v>1</v>
      </c>
      <c r="C3" s="11" t="s">
        <v>18</v>
      </c>
      <c r="D3" s="12" t="s">
        <v>58</v>
      </c>
      <c r="E3" s="12" t="s">
        <v>59</v>
      </c>
      <c r="F3" s="12" t="s">
        <v>60</v>
      </c>
      <c r="G3" s="12" t="s">
        <v>61</v>
      </c>
      <c r="H3" s="12" t="s">
        <v>2</v>
      </c>
      <c r="I3" s="12" t="s">
        <v>3</v>
      </c>
      <c r="J3" s="12" t="s">
        <v>4</v>
      </c>
      <c r="K3" s="12" t="s">
        <v>5</v>
      </c>
      <c r="L3" s="12" t="s">
        <v>17</v>
      </c>
      <c r="M3" s="12" t="s">
        <v>6</v>
      </c>
      <c r="N3" s="12" t="s">
        <v>7</v>
      </c>
      <c r="O3" s="12" t="s">
        <v>8</v>
      </c>
      <c r="P3" s="12" t="s">
        <v>9</v>
      </c>
      <c r="Q3" s="12" t="s">
        <v>10</v>
      </c>
      <c r="R3" s="12" t="s">
        <v>31</v>
      </c>
    </row>
    <row r="4" spans="1:21" s="13" customFormat="1" ht="32.1" customHeight="1">
      <c r="B4" s="15" t="s">
        <v>42</v>
      </c>
      <c r="C4" s="52">
        <f>SUM(C5)</f>
        <v>23912.17</v>
      </c>
      <c r="D4" s="52">
        <f t="shared" ref="D4:G4" si="0">SUM(D5)</f>
        <v>108.68</v>
      </c>
      <c r="E4" s="52">
        <f t="shared" si="0"/>
        <v>11403.49</v>
      </c>
      <c r="F4" s="52">
        <f t="shared" si="0"/>
        <v>6200</v>
      </c>
      <c r="G4" s="52">
        <f t="shared" si="0"/>
        <v>6200</v>
      </c>
      <c r="H4" s="18">
        <f>SUM(H5:H5)</f>
        <v>108.68</v>
      </c>
      <c r="I4" s="18">
        <f>SUM(I5:I5)</f>
        <v>11403.49</v>
      </c>
      <c r="J4" s="18">
        <f>SUM(J5:J5)</f>
        <v>1983.22</v>
      </c>
      <c r="K4" s="18">
        <f>SUM(K5:K5)</f>
        <v>0</v>
      </c>
      <c r="L4" s="18">
        <f>SUM(L5:L5)</f>
        <v>13495.39</v>
      </c>
      <c r="M4" s="17">
        <f>C4-L4</f>
        <v>10416.779999999999</v>
      </c>
      <c r="N4" s="19">
        <f t="shared" ref="N4:N26" si="1">IFERROR(H4/D4,0)</f>
        <v>1</v>
      </c>
      <c r="O4" s="19">
        <f t="shared" ref="O4:Q26" si="2">IFERROR(I4/E4,0)</f>
        <v>1</v>
      </c>
      <c r="P4" s="19">
        <f t="shared" si="2"/>
        <v>0.31987419354838709</v>
      </c>
      <c r="Q4" s="19">
        <f t="shared" si="2"/>
        <v>0</v>
      </c>
      <c r="R4" s="19">
        <f t="shared" ref="R4:R25" si="3">IFERROR((H4+I4+J4+K4)/(D4+E4+F4+G4),0)</f>
        <v>0.5643732877442742</v>
      </c>
      <c r="T4" s="20"/>
      <c r="U4" s="21"/>
    </row>
    <row r="5" spans="1:21" s="13" customFormat="1" ht="27" customHeight="1">
      <c r="A5" s="14"/>
      <c r="B5" s="26" t="s">
        <v>19</v>
      </c>
      <c r="C5" s="51">
        <f>SUM(D5:G5)</f>
        <v>23912.17</v>
      </c>
      <c r="D5" s="22">
        <v>108.68</v>
      </c>
      <c r="E5" s="22">
        <v>11403.49</v>
      </c>
      <c r="F5" s="22">
        <v>6200</v>
      </c>
      <c r="G5" s="22">
        <v>6200</v>
      </c>
      <c r="H5" s="23">
        <v>108.68</v>
      </c>
      <c r="I5" s="23">
        <v>11403.49</v>
      </c>
      <c r="J5" s="23">
        <v>1983.22</v>
      </c>
      <c r="K5" s="23"/>
      <c r="L5" s="23">
        <f t="shared" ref="L5" si="4">SUM(H5:K5)</f>
        <v>13495.39</v>
      </c>
      <c r="M5" s="22">
        <f t="shared" ref="M5:M26" si="5">C5-L5</f>
        <v>10416.779999999999</v>
      </c>
      <c r="N5" s="25">
        <f>IFERROR(H5/D5,0)</f>
        <v>1</v>
      </c>
      <c r="O5" s="25">
        <f>IFERROR(I5/E5,0)</f>
        <v>1</v>
      </c>
      <c r="P5" s="25">
        <f t="shared" si="2"/>
        <v>0.31987419354838709</v>
      </c>
      <c r="Q5" s="25">
        <f t="shared" si="2"/>
        <v>0</v>
      </c>
      <c r="R5" s="25">
        <f t="shared" si="3"/>
        <v>0.5643732877442742</v>
      </c>
      <c r="T5" s="20"/>
      <c r="U5" s="21"/>
    </row>
    <row r="6" spans="1:21" s="13" customFormat="1" ht="31.5" customHeight="1">
      <c r="B6" s="15" t="s">
        <v>21</v>
      </c>
      <c r="C6" s="52">
        <f>SUM(C7:C22)</f>
        <v>1514321.65</v>
      </c>
      <c r="D6" s="52">
        <f t="shared" ref="D6:G6" si="6">SUM(D7:D22)</f>
        <v>100559.98</v>
      </c>
      <c r="E6" s="52">
        <f t="shared" si="6"/>
        <v>141241.51</v>
      </c>
      <c r="F6" s="52">
        <f t="shared" si="6"/>
        <v>572229.18533333333</v>
      </c>
      <c r="G6" s="52">
        <f t="shared" si="6"/>
        <v>700290.97466666659</v>
      </c>
      <c r="H6" s="18">
        <f>SUM(H7:H22)</f>
        <v>100559.98</v>
      </c>
      <c r="I6" s="18">
        <f>SUM(I7:I22)</f>
        <v>141241.51</v>
      </c>
      <c r="J6" s="18">
        <f t="shared" ref="J6:L6" si="7">SUM(J7:J22)</f>
        <v>396484.99000000005</v>
      </c>
      <c r="K6" s="18">
        <f t="shared" si="7"/>
        <v>0</v>
      </c>
      <c r="L6" s="18">
        <f t="shared" si="7"/>
        <v>638286.48</v>
      </c>
      <c r="M6" s="17">
        <f>C6-L6</f>
        <v>876035.16999999993</v>
      </c>
      <c r="N6" s="19">
        <f>IFERROR(H6/D6,0)</f>
        <v>1</v>
      </c>
      <c r="O6" s="19">
        <f>IFERROR(I6/E6,0)</f>
        <v>1</v>
      </c>
      <c r="P6" s="19">
        <f t="shared" si="2"/>
        <v>0.69287795897554705</v>
      </c>
      <c r="Q6" s="19">
        <f t="shared" si="2"/>
        <v>0</v>
      </c>
      <c r="R6" s="19">
        <f>IFERROR((H6+I6+J6+K6)/(D6+E6+F6+G6),0)</f>
        <v>0.42149993695196791</v>
      </c>
      <c r="T6" s="20"/>
      <c r="U6" s="21"/>
    </row>
    <row r="7" spans="1:21" s="13" customFormat="1" ht="42.75">
      <c r="B7" s="26" t="s">
        <v>22</v>
      </c>
      <c r="C7" s="51">
        <f t="shared" ref="C7:C22" si="8">SUM(D7:G7)</f>
        <v>49798</v>
      </c>
      <c r="D7" s="22">
        <v>0</v>
      </c>
      <c r="E7" s="22">
        <v>0</v>
      </c>
      <c r="F7" s="22">
        <v>24899</v>
      </c>
      <c r="G7" s="22">
        <v>24899</v>
      </c>
      <c r="H7" s="23">
        <v>0</v>
      </c>
      <c r="I7" s="23">
        <v>0</v>
      </c>
      <c r="J7" s="68">
        <v>0</v>
      </c>
      <c r="K7" s="23"/>
      <c r="L7" s="23">
        <f t="shared" ref="L7:L9" si="9">SUM(H7:K7)</f>
        <v>0</v>
      </c>
      <c r="M7" s="22">
        <f t="shared" si="5"/>
        <v>49798</v>
      </c>
      <c r="N7" s="25">
        <f t="shared" si="1"/>
        <v>0</v>
      </c>
      <c r="O7" s="25">
        <f t="shared" si="2"/>
        <v>0</v>
      </c>
      <c r="P7" s="25">
        <f t="shared" si="2"/>
        <v>0</v>
      </c>
      <c r="Q7" s="25">
        <f t="shared" si="2"/>
        <v>0</v>
      </c>
      <c r="R7" s="25">
        <f t="shared" si="3"/>
        <v>0</v>
      </c>
      <c r="T7" s="20"/>
      <c r="U7" s="21"/>
    </row>
    <row r="8" spans="1:21" s="13" customFormat="1" ht="28.5">
      <c r="A8" s="13">
        <v>1</v>
      </c>
      <c r="B8" s="26" t="s">
        <v>23</v>
      </c>
      <c r="C8" s="51">
        <f t="shared" si="8"/>
        <v>0</v>
      </c>
      <c r="D8" s="22">
        <v>0</v>
      </c>
      <c r="E8" s="22">
        <v>0</v>
      </c>
      <c r="F8" s="22">
        <v>0</v>
      </c>
      <c r="G8" s="22">
        <v>0</v>
      </c>
      <c r="H8" s="23">
        <v>0</v>
      </c>
      <c r="I8" s="23">
        <v>0</v>
      </c>
      <c r="J8" s="69">
        <v>0</v>
      </c>
      <c r="K8" s="23"/>
      <c r="L8" s="23">
        <f t="shared" si="9"/>
        <v>0</v>
      </c>
      <c r="M8" s="22">
        <f t="shared" si="5"/>
        <v>0</v>
      </c>
      <c r="N8" s="25">
        <f t="shared" si="1"/>
        <v>0</v>
      </c>
      <c r="O8" s="25">
        <f t="shared" si="2"/>
        <v>0</v>
      </c>
      <c r="P8" s="25">
        <f t="shared" si="2"/>
        <v>0</v>
      </c>
      <c r="Q8" s="25">
        <f t="shared" si="2"/>
        <v>0</v>
      </c>
      <c r="R8" s="25">
        <f t="shared" si="3"/>
        <v>0</v>
      </c>
      <c r="T8" s="20"/>
      <c r="U8" s="21"/>
    </row>
    <row r="9" spans="1:21" s="13" customFormat="1" ht="28.5">
      <c r="B9" s="26" t="s">
        <v>24</v>
      </c>
      <c r="C9" s="51">
        <f t="shared" si="8"/>
        <v>193975.64</v>
      </c>
      <c r="D9" s="22">
        <v>0</v>
      </c>
      <c r="E9" s="22">
        <v>5575.64</v>
      </c>
      <c r="F9" s="23">
        <v>19132.951999999997</v>
      </c>
      <c r="G9" s="23">
        <v>169267.04800000001</v>
      </c>
      <c r="H9" s="23">
        <v>0</v>
      </c>
      <c r="I9" s="23">
        <v>5575.64</v>
      </c>
      <c r="J9" s="68">
        <v>19212.21</v>
      </c>
      <c r="K9" s="23"/>
      <c r="L9" s="23">
        <f t="shared" si="9"/>
        <v>24787.85</v>
      </c>
      <c r="M9" s="23">
        <f t="shared" si="5"/>
        <v>169187.79</v>
      </c>
      <c r="N9" s="24">
        <f t="shared" si="1"/>
        <v>0</v>
      </c>
      <c r="O9" s="24">
        <f t="shared" si="2"/>
        <v>1</v>
      </c>
      <c r="P9" s="24">
        <f t="shared" si="2"/>
        <v>1.0041424867422446</v>
      </c>
      <c r="Q9" s="24">
        <f t="shared" si="2"/>
        <v>0</v>
      </c>
      <c r="R9" s="24">
        <f t="shared" si="3"/>
        <v>0.12778846869637855</v>
      </c>
      <c r="T9" s="20"/>
      <c r="U9" s="21"/>
    </row>
    <row r="10" spans="1:21" s="13" customFormat="1" ht="28.5">
      <c r="A10" s="13">
        <v>1</v>
      </c>
      <c r="B10" s="26" t="s">
        <v>25</v>
      </c>
      <c r="C10" s="51">
        <f t="shared" si="8"/>
        <v>17815</v>
      </c>
      <c r="D10" s="22">
        <v>7815</v>
      </c>
      <c r="E10" s="22">
        <v>0</v>
      </c>
      <c r="F10" s="22">
        <v>0</v>
      </c>
      <c r="G10" s="22">
        <v>10000</v>
      </c>
      <c r="H10" s="23">
        <v>7815</v>
      </c>
      <c r="I10" s="23">
        <v>0</v>
      </c>
      <c r="J10" s="69">
        <v>0</v>
      </c>
      <c r="K10" s="23"/>
      <c r="L10" s="23">
        <f t="shared" ref="L10:L13" si="10">SUM(H10:K10)</f>
        <v>7815</v>
      </c>
      <c r="M10" s="22">
        <f t="shared" ref="M10:M13" si="11">C10-L10</f>
        <v>10000</v>
      </c>
      <c r="N10" s="25">
        <f t="shared" ref="N10:N13" si="12">IFERROR(H10/D10,0)</f>
        <v>1</v>
      </c>
      <c r="O10" s="25">
        <f t="shared" ref="O10:O13" si="13">IFERROR(I10/E10,0)</f>
        <v>0</v>
      </c>
      <c r="P10" s="25">
        <f t="shared" ref="P10:P13" si="14">IFERROR(J10/F10,0)</f>
        <v>0</v>
      </c>
      <c r="Q10" s="25">
        <f t="shared" ref="Q10:Q13" si="15">IFERROR(K10/G10,0)</f>
        <v>0</v>
      </c>
      <c r="R10" s="25">
        <f t="shared" ref="R10:R13" si="16">IFERROR((H10+I10+J10+K10)/(D10+E10+F10+G10),0)</f>
        <v>0.43867527364580411</v>
      </c>
      <c r="T10" s="20"/>
      <c r="U10" s="21"/>
    </row>
    <row r="11" spans="1:21" s="13" customFormat="1" ht="14.25">
      <c r="B11" s="26" t="s">
        <v>26</v>
      </c>
      <c r="C11" s="51">
        <f t="shared" si="8"/>
        <v>311170.87</v>
      </c>
      <c r="D11" s="22">
        <v>0</v>
      </c>
      <c r="E11" s="22">
        <v>4165.87</v>
      </c>
      <c r="F11" s="22">
        <v>153502.5</v>
      </c>
      <c r="G11" s="22">
        <v>153502.5</v>
      </c>
      <c r="H11" s="23">
        <v>0</v>
      </c>
      <c r="I11" s="23">
        <v>4165.87</v>
      </c>
      <c r="J11" s="68">
        <v>7277.4900000000007</v>
      </c>
      <c r="K11" s="23"/>
      <c r="L11" s="23">
        <f t="shared" si="10"/>
        <v>11443.36</v>
      </c>
      <c r="M11" s="22">
        <f t="shared" si="11"/>
        <v>299727.51</v>
      </c>
      <c r="N11" s="25">
        <f t="shared" si="12"/>
        <v>0</v>
      </c>
      <c r="O11" s="25">
        <f t="shared" si="13"/>
        <v>1</v>
      </c>
      <c r="P11" s="25">
        <f t="shared" si="14"/>
        <v>4.7409586163091808E-2</v>
      </c>
      <c r="Q11" s="25">
        <f t="shared" si="15"/>
        <v>0</v>
      </c>
      <c r="R11" s="25">
        <f t="shared" si="16"/>
        <v>3.6775164718985426E-2</v>
      </c>
      <c r="T11" s="20"/>
      <c r="U11" s="21"/>
    </row>
    <row r="12" spans="1:21" s="13" customFormat="1" ht="14.25">
      <c r="B12" s="26" t="s">
        <v>85</v>
      </c>
      <c r="C12" s="51">
        <f t="shared" si="8"/>
        <v>55000</v>
      </c>
      <c r="D12" s="22">
        <v>0</v>
      </c>
      <c r="E12" s="22">
        <v>0</v>
      </c>
      <c r="F12" s="22">
        <v>25000</v>
      </c>
      <c r="G12" s="22">
        <v>30000</v>
      </c>
      <c r="H12" s="23"/>
      <c r="I12" s="23"/>
      <c r="J12" s="68">
        <v>16123.35</v>
      </c>
      <c r="K12" s="23"/>
      <c r="L12" s="23">
        <f t="shared" ref="L12" si="17">SUM(H12:K12)</f>
        <v>16123.35</v>
      </c>
      <c r="M12" s="22">
        <f t="shared" ref="M12" si="18">C12-L12</f>
        <v>38876.65</v>
      </c>
      <c r="N12" s="25">
        <f t="shared" ref="N12" si="19">IFERROR(H12/D12,0)</f>
        <v>0</v>
      </c>
      <c r="O12" s="25">
        <f t="shared" ref="O12" si="20">IFERROR(I12/E12,0)</f>
        <v>0</v>
      </c>
      <c r="P12" s="25">
        <f t="shared" ref="P12" si="21">IFERROR(J12/F12,0)</f>
        <v>0.64493400000000001</v>
      </c>
      <c r="Q12" s="25">
        <f t="shared" ref="Q12" si="22">IFERROR(K12/G12,0)</f>
        <v>0</v>
      </c>
      <c r="R12" s="25">
        <f t="shared" ref="R12" si="23">IFERROR((H12+I12+J12+K12)/(D12+E12+F12+G12),0)</f>
        <v>0.29315181818181818</v>
      </c>
      <c r="T12" s="20"/>
      <c r="U12" s="21"/>
    </row>
    <row r="13" spans="1:21" s="13" customFormat="1" ht="28.5">
      <c r="A13" s="13">
        <v>1</v>
      </c>
      <c r="B13" s="26" t="s">
        <v>27</v>
      </c>
      <c r="C13" s="51">
        <f t="shared" si="8"/>
        <v>77190</v>
      </c>
      <c r="D13" s="22">
        <v>22371</v>
      </c>
      <c r="E13" s="22">
        <v>21178</v>
      </c>
      <c r="F13" s="23">
        <v>19166</v>
      </c>
      <c r="G13" s="23">
        <v>14475</v>
      </c>
      <c r="H13" s="23">
        <v>22371</v>
      </c>
      <c r="I13" s="23">
        <v>21178</v>
      </c>
      <c r="J13" s="69">
        <v>19166</v>
      </c>
      <c r="K13" s="23"/>
      <c r="L13" s="23">
        <f t="shared" si="10"/>
        <v>62715</v>
      </c>
      <c r="M13" s="23">
        <f t="shared" si="11"/>
        <v>14475</v>
      </c>
      <c r="N13" s="24">
        <f t="shared" si="12"/>
        <v>1</v>
      </c>
      <c r="O13" s="24">
        <f t="shared" si="13"/>
        <v>1</v>
      </c>
      <c r="P13" s="24">
        <f t="shared" si="14"/>
        <v>1</v>
      </c>
      <c r="Q13" s="24">
        <f t="shared" si="15"/>
        <v>0</v>
      </c>
      <c r="R13" s="24">
        <f t="shared" si="16"/>
        <v>0.812475709288768</v>
      </c>
      <c r="T13" s="20"/>
      <c r="U13" s="21"/>
    </row>
    <row r="14" spans="1:21" s="13" customFormat="1" ht="14.25">
      <c r="B14" s="26" t="s">
        <v>28</v>
      </c>
      <c r="C14" s="51">
        <f t="shared" si="8"/>
        <v>239177.97999999998</v>
      </c>
      <c r="D14" s="22">
        <v>4148.9799999999996</v>
      </c>
      <c r="E14" s="22">
        <v>42302</v>
      </c>
      <c r="F14" s="22">
        <v>96363.5</v>
      </c>
      <c r="G14" s="22">
        <v>96363.5</v>
      </c>
      <c r="H14" s="23">
        <v>4148.9799999999996</v>
      </c>
      <c r="I14" s="23">
        <v>42302</v>
      </c>
      <c r="J14" s="68">
        <v>107322.25000000001</v>
      </c>
      <c r="K14" s="23"/>
      <c r="L14" s="23">
        <f t="shared" ref="L14:L22" si="24">SUM(H14:K14)</f>
        <v>153773.23000000001</v>
      </c>
      <c r="M14" s="22">
        <f t="shared" si="5"/>
        <v>85404.749999999971</v>
      </c>
      <c r="N14" s="25">
        <f t="shared" si="1"/>
        <v>1</v>
      </c>
      <c r="O14" s="25">
        <f t="shared" si="2"/>
        <v>1</v>
      </c>
      <c r="P14" s="25">
        <f t="shared" si="2"/>
        <v>1.1137230382873184</v>
      </c>
      <c r="Q14" s="25">
        <f t="shared" si="2"/>
        <v>0</v>
      </c>
      <c r="R14" s="25">
        <f t="shared" si="3"/>
        <v>0.64292385946231345</v>
      </c>
      <c r="T14" s="20"/>
      <c r="U14" s="21"/>
    </row>
    <row r="15" spans="1:21" s="13" customFormat="1" ht="28.5">
      <c r="A15" s="13">
        <v>1</v>
      </c>
      <c r="B15" s="26" t="s">
        <v>29</v>
      </c>
      <c r="C15" s="51">
        <f t="shared" si="8"/>
        <v>25859</v>
      </c>
      <c r="D15" s="22">
        <v>14797</v>
      </c>
      <c r="E15" s="22">
        <v>11062</v>
      </c>
      <c r="F15" s="22">
        <v>0</v>
      </c>
      <c r="G15" s="22">
        <v>0</v>
      </c>
      <c r="H15" s="23">
        <v>14797</v>
      </c>
      <c r="I15" s="23">
        <v>11062</v>
      </c>
      <c r="J15" s="69">
        <v>0</v>
      </c>
      <c r="K15" s="23"/>
      <c r="L15" s="23">
        <f t="shared" si="24"/>
        <v>25859</v>
      </c>
      <c r="M15" s="22">
        <f t="shared" si="5"/>
        <v>0</v>
      </c>
      <c r="N15" s="25">
        <f t="shared" si="1"/>
        <v>1</v>
      </c>
      <c r="O15" s="25">
        <f t="shared" si="2"/>
        <v>1</v>
      </c>
      <c r="P15" s="25">
        <f t="shared" si="2"/>
        <v>0</v>
      </c>
      <c r="Q15" s="25">
        <f t="shared" si="2"/>
        <v>0</v>
      </c>
      <c r="R15" s="25">
        <f t="shared" si="3"/>
        <v>1</v>
      </c>
      <c r="T15" s="20"/>
      <c r="U15" s="21"/>
    </row>
    <row r="16" spans="1:21" s="13" customFormat="1" ht="14.25">
      <c r="B16" s="26" t="s">
        <v>86</v>
      </c>
      <c r="C16" s="51">
        <f t="shared" si="8"/>
        <v>61523</v>
      </c>
      <c r="D16" s="22">
        <v>0</v>
      </c>
      <c r="E16" s="22">
        <v>0</v>
      </c>
      <c r="F16" s="22">
        <v>30761.5</v>
      </c>
      <c r="G16" s="22">
        <v>30761.5</v>
      </c>
      <c r="H16" s="23">
        <v>0</v>
      </c>
      <c r="I16" s="23">
        <v>0</v>
      </c>
      <c r="J16" s="68">
        <v>53989.61</v>
      </c>
      <c r="K16" s="23"/>
      <c r="L16" s="23">
        <f t="shared" si="24"/>
        <v>53989.61</v>
      </c>
      <c r="M16" s="22">
        <f t="shared" si="5"/>
        <v>7533.3899999999994</v>
      </c>
      <c r="N16" s="25">
        <f t="shared" si="1"/>
        <v>0</v>
      </c>
      <c r="O16" s="25">
        <f t="shared" si="2"/>
        <v>0</v>
      </c>
      <c r="P16" s="25">
        <f t="shared" ref="P16:P21" si="25">IFERROR(J16/F16,0)</f>
        <v>1.755103294702794</v>
      </c>
      <c r="Q16" s="25">
        <f t="shared" ref="Q16:Q21" si="26">IFERROR(K16/G16,0)</f>
        <v>0</v>
      </c>
      <c r="R16" s="25">
        <f t="shared" si="3"/>
        <v>0.87755164735139701</v>
      </c>
      <c r="T16" s="20"/>
      <c r="U16" s="21"/>
    </row>
    <row r="17" spans="1:21" s="13" customFormat="1" ht="14.25">
      <c r="B17" s="26" t="s">
        <v>87</v>
      </c>
      <c r="C17" s="51">
        <f t="shared" si="8"/>
        <v>79706</v>
      </c>
      <c r="D17" s="22">
        <v>0</v>
      </c>
      <c r="E17" s="22">
        <v>0</v>
      </c>
      <c r="F17" s="22">
        <v>53137.333333333328</v>
      </c>
      <c r="G17" s="22">
        <v>26568.666666666664</v>
      </c>
      <c r="H17" s="23">
        <v>0</v>
      </c>
      <c r="I17" s="23">
        <v>0</v>
      </c>
      <c r="J17" s="68">
        <v>71777.73</v>
      </c>
      <c r="K17" s="23"/>
      <c r="L17" s="23">
        <f t="shared" si="24"/>
        <v>71777.73</v>
      </c>
      <c r="M17" s="22">
        <f t="shared" si="5"/>
        <v>7928.2700000000041</v>
      </c>
      <c r="N17" s="25">
        <f t="shared" si="1"/>
        <v>0</v>
      </c>
      <c r="O17" s="25">
        <f t="shared" si="2"/>
        <v>0</v>
      </c>
      <c r="P17" s="25">
        <f t="shared" si="25"/>
        <v>1.3507966150603468</v>
      </c>
      <c r="Q17" s="25">
        <f t="shared" si="26"/>
        <v>0</v>
      </c>
      <c r="R17" s="25">
        <f t="shared" si="3"/>
        <v>0.9005310767068978</v>
      </c>
      <c r="T17" s="20"/>
      <c r="U17" s="21"/>
    </row>
    <row r="18" spans="1:21" s="13" customFormat="1" ht="14.25">
      <c r="B18" s="26" t="s">
        <v>88</v>
      </c>
      <c r="C18" s="51">
        <f t="shared" si="8"/>
        <v>74400</v>
      </c>
      <c r="D18" s="22">
        <v>0</v>
      </c>
      <c r="E18" s="22">
        <v>0</v>
      </c>
      <c r="F18" s="22">
        <v>37200</v>
      </c>
      <c r="G18" s="22">
        <v>37200</v>
      </c>
      <c r="H18" s="23">
        <v>0</v>
      </c>
      <c r="I18" s="23">
        <v>0</v>
      </c>
      <c r="J18" s="68">
        <v>35335.82</v>
      </c>
      <c r="K18" s="23"/>
      <c r="L18" s="23">
        <f t="shared" si="24"/>
        <v>35335.82</v>
      </c>
      <c r="M18" s="22">
        <f t="shared" si="5"/>
        <v>39064.18</v>
      </c>
      <c r="N18" s="25">
        <f t="shared" si="1"/>
        <v>0</v>
      </c>
      <c r="O18" s="25">
        <f t="shared" si="2"/>
        <v>0</v>
      </c>
      <c r="P18" s="25">
        <f t="shared" si="25"/>
        <v>0.94988763440860213</v>
      </c>
      <c r="Q18" s="25">
        <f t="shared" si="26"/>
        <v>0</v>
      </c>
      <c r="R18" s="25">
        <f t="shared" si="3"/>
        <v>0.47494381720430107</v>
      </c>
      <c r="T18" s="20"/>
      <c r="U18" s="21"/>
    </row>
    <row r="19" spans="1:21" s="13" customFormat="1" ht="14.25">
      <c r="B19" s="26" t="s">
        <v>89</v>
      </c>
      <c r="C19" s="51">
        <f t="shared" si="8"/>
        <v>80600</v>
      </c>
      <c r="D19" s="22">
        <v>0</v>
      </c>
      <c r="E19" s="22">
        <v>0</v>
      </c>
      <c r="F19" s="22">
        <v>40300</v>
      </c>
      <c r="G19" s="22">
        <v>40300</v>
      </c>
      <c r="H19" s="23">
        <v>0</v>
      </c>
      <c r="I19" s="23">
        <v>0</v>
      </c>
      <c r="J19" s="68">
        <v>1277.45</v>
      </c>
      <c r="K19" s="23"/>
      <c r="L19" s="23">
        <f t="shared" si="24"/>
        <v>1277.45</v>
      </c>
      <c r="M19" s="22">
        <f t="shared" si="5"/>
        <v>79322.55</v>
      </c>
      <c r="N19" s="25">
        <f t="shared" si="1"/>
        <v>0</v>
      </c>
      <c r="O19" s="25">
        <f t="shared" si="2"/>
        <v>0</v>
      </c>
      <c r="P19" s="25">
        <f t="shared" si="25"/>
        <v>3.16985111662531E-2</v>
      </c>
      <c r="Q19" s="25">
        <f t="shared" si="26"/>
        <v>0</v>
      </c>
      <c r="R19" s="25">
        <f t="shared" si="3"/>
        <v>1.584925558312655E-2</v>
      </c>
      <c r="T19" s="20"/>
      <c r="U19" s="21"/>
    </row>
    <row r="20" spans="1:21" s="13" customFormat="1" ht="14.25">
      <c r="B20" s="26" t="s">
        <v>90</v>
      </c>
      <c r="C20" s="51">
        <f t="shared" si="8"/>
        <v>3516</v>
      </c>
      <c r="D20" s="22">
        <v>0</v>
      </c>
      <c r="E20" s="22">
        <v>0</v>
      </c>
      <c r="F20" s="22">
        <v>3516</v>
      </c>
      <c r="G20" s="22">
        <v>0</v>
      </c>
      <c r="H20" s="23">
        <v>0</v>
      </c>
      <c r="I20" s="23">
        <v>0</v>
      </c>
      <c r="J20" s="68">
        <v>3516.08</v>
      </c>
      <c r="K20" s="23"/>
      <c r="L20" s="23">
        <f t="shared" si="24"/>
        <v>3516.08</v>
      </c>
      <c r="M20" s="22">
        <f t="shared" si="5"/>
        <v>-7.999999999992724E-2</v>
      </c>
      <c r="N20" s="25">
        <f t="shared" si="1"/>
        <v>0</v>
      </c>
      <c r="O20" s="25">
        <f t="shared" si="2"/>
        <v>0</v>
      </c>
      <c r="P20" s="25">
        <f t="shared" si="25"/>
        <v>1.0000227531285553</v>
      </c>
      <c r="Q20" s="25">
        <f t="shared" si="26"/>
        <v>0</v>
      </c>
      <c r="R20" s="25">
        <f t="shared" si="3"/>
        <v>1.0000227531285553</v>
      </c>
      <c r="T20" s="20"/>
      <c r="U20" s="21"/>
    </row>
    <row r="21" spans="1:21" s="13" customFormat="1" ht="14.25">
      <c r="B21" s="26" t="s">
        <v>91</v>
      </c>
      <c r="C21" s="51">
        <f t="shared" si="8"/>
        <v>14880</v>
      </c>
      <c r="D21" s="22">
        <v>0</v>
      </c>
      <c r="E21" s="22">
        <v>0</v>
      </c>
      <c r="F21" s="22">
        <v>7440</v>
      </c>
      <c r="G21" s="22">
        <v>7440</v>
      </c>
      <c r="H21" s="23">
        <v>0</v>
      </c>
      <c r="I21" s="23">
        <v>0</v>
      </c>
      <c r="J21" s="68">
        <v>0</v>
      </c>
      <c r="K21" s="23"/>
      <c r="L21" s="23">
        <f t="shared" si="24"/>
        <v>0</v>
      </c>
      <c r="M21" s="22">
        <f t="shared" si="5"/>
        <v>14880</v>
      </c>
      <c r="N21" s="25">
        <f t="shared" si="1"/>
        <v>0</v>
      </c>
      <c r="O21" s="25">
        <f t="shared" si="2"/>
        <v>0</v>
      </c>
      <c r="P21" s="25">
        <f t="shared" si="25"/>
        <v>0</v>
      </c>
      <c r="Q21" s="25">
        <f t="shared" si="26"/>
        <v>0</v>
      </c>
      <c r="R21" s="25">
        <f t="shared" si="3"/>
        <v>0</v>
      </c>
      <c r="T21" s="20"/>
      <c r="U21" s="21"/>
    </row>
    <row r="22" spans="1:21" s="13" customFormat="1" ht="28.5">
      <c r="A22" s="13">
        <v>1</v>
      </c>
      <c r="B22" s="26" t="s">
        <v>30</v>
      </c>
      <c r="C22" s="51">
        <f t="shared" si="8"/>
        <v>229710.16000000003</v>
      </c>
      <c r="D22" s="22">
        <v>51428</v>
      </c>
      <c r="E22" s="22">
        <v>56958</v>
      </c>
      <c r="F22" s="23">
        <v>61810.400000000009</v>
      </c>
      <c r="G22" s="23">
        <v>59513.759999999995</v>
      </c>
      <c r="H22" s="23">
        <v>51428</v>
      </c>
      <c r="I22" s="23">
        <v>56958</v>
      </c>
      <c r="J22" s="69">
        <v>61487</v>
      </c>
      <c r="K22" s="23"/>
      <c r="L22" s="23">
        <f t="shared" si="24"/>
        <v>169873</v>
      </c>
      <c r="M22" s="23">
        <f t="shared" si="5"/>
        <v>59837.160000000033</v>
      </c>
      <c r="N22" s="24">
        <f t="shared" si="1"/>
        <v>1</v>
      </c>
      <c r="O22" s="24">
        <f t="shared" si="2"/>
        <v>1</v>
      </c>
      <c r="P22" s="24">
        <f t="shared" si="2"/>
        <v>0.99476787077902729</v>
      </c>
      <c r="Q22" s="24">
        <f t="shared" si="2"/>
        <v>0</v>
      </c>
      <c r="R22" s="24">
        <f t="shared" si="3"/>
        <v>0.73951017229712424</v>
      </c>
      <c r="T22" s="20"/>
      <c r="U22" s="21"/>
    </row>
    <row r="23" spans="1:21" s="13" customFormat="1" ht="15">
      <c r="B23" s="15" t="s">
        <v>32</v>
      </c>
      <c r="C23" s="52">
        <f>SUM(C24)</f>
        <v>170800.31</v>
      </c>
      <c r="D23" s="52">
        <f t="shared" ref="D23:G23" si="27">SUM(D24)</f>
        <v>0</v>
      </c>
      <c r="E23" s="52">
        <f t="shared" si="27"/>
        <v>5174.3099999999995</v>
      </c>
      <c r="F23" s="52">
        <f t="shared" si="27"/>
        <v>82813</v>
      </c>
      <c r="G23" s="52">
        <f t="shared" si="27"/>
        <v>82813</v>
      </c>
      <c r="H23" s="18">
        <f>SUM(H24)</f>
        <v>0</v>
      </c>
      <c r="I23" s="18">
        <f t="shared" ref="I23:K23" si="28">SUM(I24)</f>
        <v>5174.3099999999995</v>
      </c>
      <c r="J23" s="18">
        <f t="shared" si="28"/>
        <v>61036.639999999999</v>
      </c>
      <c r="K23" s="18">
        <f t="shared" si="28"/>
        <v>0</v>
      </c>
      <c r="L23" s="18">
        <f>SUM(L24)</f>
        <v>66210.95</v>
      </c>
      <c r="M23" s="17">
        <f>C23-L23</f>
        <v>104589.36</v>
      </c>
      <c r="N23" s="19">
        <f t="shared" si="1"/>
        <v>0</v>
      </c>
      <c r="O23" s="19">
        <f t="shared" si="2"/>
        <v>1</v>
      </c>
      <c r="P23" s="19">
        <f t="shared" si="2"/>
        <v>0.73704176880441474</v>
      </c>
      <c r="Q23" s="19">
        <f t="shared" si="2"/>
        <v>0</v>
      </c>
      <c r="R23" s="19">
        <f t="shared" si="3"/>
        <v>0.38765122850186862</v>
      </c>
      <c r="T23" s="20"/>
      <c r="U23" s="21"/>
    </row>
    <row r="24" spans="1:21" s="13" customFormat="1" ht="14.25">
      <c r="B24" s="26" t="s">
        <v>33</v>
      </c>
      <c r="C24" s="51">
        <f>SUM(D24:G24)</f>
        <v>170800.31</v>
      </c>
      <c r="D24" s="27">
        <v>0</v>
      </c>
      <c r="E24" s="27">
        <v>5174.3099999999995</v>
      </c>
      <c r="F24" s="28">
        <v>82813</v>
      </c>
      <c r="G24" s="28">
        <v>82813</v>
      </c>
      <c r="H24" s="28">
        <v>0</v>
      </c>
      <c r="I24" s="28">
        <v>5174.3099999999995</v>
      </c>
      <c r="J24" s="28">
        <v>61036.639999999999</v>
      </c>
      <c r="K24" s="29"/>
      <c r="L24" s="23">
        <f>SUM(H24:K24)</f>
        <v>66210.95</v>
      </c>
      <c r="M24" s="28">
        <f t="shared" si="5"/>
        <v>104589.36</v>
      </c>
      <c r="N24" s="30">
        <f t="shared" si="1"/>
        <v>0</v>
      </c>
      <c r="O24" s="30">
        <f t="shared" si="2"/>
        <v>1</v>
      </c>
      <c r="P24" s="30">
        <f t="shared" si="2"/>
        <v>0.73704176880441474</v>
      </c>
      <c r="Q24" s="30">
        <f t="shared" si="2"/>
        <v>0</v>
      </c>
      <c r="R24" s="30">
        <f t="shared" si="3"/>
        <v>0.38765122850186862</v>
      </c>
      <c r="T24" s="20"/>
      <c r="U24" s="21"/>
    </row>
    <row r="25" spans="1:21" s="13" customFormat="1" ht="15">
      <c r="B25" s="15" t="s">
        <v>34</v>
      </c>
      <c r="C25" s="16">
        <f>SUM(C26)</f>
        <v>262908</v>
      </c>
      <c r="D25" s="16">
        <f t="shared" ref="D25:G25" si="29">SUM(D26)</f>
        <v>48475</v>
      </c>
      <c r="E25" s="16">
        <f t="shared" si="29"/>
        <v>44769</v>
      </c>
      <c r="F25" s="16">
        <f t="shared" si="29"/>
        <v>86378.000000000015</v>
      </c>
      <c r="G25" s="16">
        <f t="shared" si="29"/>
        <v>83286</v>
      </c>
      <c r="H25" s="18">
        <f>SUM(H26:H26)</f>
        <v>48475</v>
      </c>
      <c r="I25" s="18">
        <f>SUM(I26:I26)</f>
        <v>44769</v>
      </c>
      <c r="J25" s="18">
        <f t="shared" ref="J25:K25" si="30">SUM(J26:J26)</f>
        <v>74235</v>
      </c>
      <c r="K25" s="18">
        <f t="shared" si="30"/>
        <v>0</v>
      </c>
      <c r="L25" s="18">
        <f>SUM(L26:L26)</f>
        <v>167479</v>
      </c>
      <c r="M25" s="17">
        <f t="shared" si="5"/>
        <v>95429</v>
      </c>
      <c r="N25" s="19">
        <f t="shared" si="1"/>
        <v>1</v>
      </c>
      <c r="O25" s="19">
        <f t="shared" si="2"/>
        <v>1</v>
      </c>
      <c r="P25" s="19">
        <f t="shared" si="2"/>
        <v>0.85942022274190177</v>
      </c>
      <c r="Q25" s="19">
        <f t="shared" si="2"/>
        <v>0</v>
      </c>
      <c r="R25" s="19">
        <f t="shared" si="3"/>
        <v>0.63702511905305281</v>
      </c>
      <c r="T25" s="20"/>
      <c r="U25" s="21"/>
    </row>
    <row r="26" spans="1:21" s="13" customFormat="1" ht="14.25">
      <c r="A26" s="13">
        <v>1</v>
      </c>
      <c r="B26" s="26" t="s">
        <v>35</v>
      </c>
      <c r="C26" s="51">
        <f>SUM(D26:G26)</f>
        <v>262908</v>
      </c>
      <c r="D26" s="31">
        <v>48475</v>
      </c>
      <c r="E26" s="31">
        <v>44769</v>
      </c>
      <c r="F26" s="32">
        <v>86378.000000000015</v>
      </c>
      <c r="G26" s="32">
        <v>83286</v>
      </c>
      <c r="H26" s="33">
        <v>48475</v>
      </c>
      <c r="I26" s="33">
        <f>38778+5991</f>
        <v>44769</v>
      </c>
      <c r="J26" s="69">
        <v>74235</v>
      </c>
      <c r="K26" s="23"/>
      <c r="L26" s="23">
        <f t="shared" ref="L26" si="31">SUM(H26:K26)</f>
        <v>167479</v>
      </c>
      <c r="M26" s="32">
        <f t="shared" si="5"/>
        <v>95429</v>
      </c>
      <c r="N26" s="34">
        <f t="shared" si="1"/>
        <v>1</v>
      </c>
      <c r="O26" s="34">
        <f t="shared" si="2"/>
        <v>1</v>
      </c>
      <c r="P26" s="34">
        <f t="shared" si="2"/>
        <v>0.85942022274190177</v>
      </c>
      <c r="Q26" s="34">
        <f t="shared" si="2"/>
        <v>0</v>
      </c>
      <c r="R26" s="34">
        <f>IFERROR((H26+I26+J26+K26)/(D26+E26+F26+G26),0)</f>
        <v>0.63702511905305281</v>
      </c>
      <c r="T26" s="20"/>
      <c r="U26" s="21"/>
    </row>
    <row r="27" spans="1:21" s="13" customFormat="1" ht="32.1" customHeight="1">
      <c r="A27" s="9"/>
      <c r="B27" s="35" t="s">
        <v>13</v>
      </c>
      <c r="C27" s="37">
        <f>SUMIF($A$4:$A$26,"1",C4:C26)</f>
        <v>613482.16</v>
      </c>
      <c r="D27" s="37">
        <f>SUMIF($A$4:$A$26,"1",D4:D26)</f>
        <v>144886</v>
      </c>
      <c r="E27" s="37">
        <f t="shared" ref="E27:G27" si="32">SUMIF($A$4:$A$26,"1",E4:E26)</f>
        <v>133967</v>
      </c>
      <c r="F27" s="37">
        <f t="shared" si="32"/>
        <v>167354.40000000002</v>
      </c>
      <c r="G27" s="37">
        <f t="shared" si="32"/>
        <v>167274.76</v>
      </c>
      <c r="H27" s="37">
        <f>SUMIF($A$4:$A$26,"1",H4:H26)</f>
        <v>144886</v>
      </c>
      <c r="I27" s="37">
        <f>SUMIF($A$4:$A$26,"1",I4:I26)</f>
        <v>133967</v>
      </c>
      <c r="J27" s="37">
        <f t="shared" ref="J27:L27" si="33">SUMIF($A$4:$A$26,"1",J4:J26)</f>
        <v>154888</v>
      </c>
      <c r="K27" s="37">
        <f t="shared" si="33"/>
        <v>0</v>
      </c>
      <c r="L27" s="37">
        <f t="shared" si="33"/>
        <v>433741</v>
      </c>
      <c r="M27" s="37">
        <f>C27-H27-I27-J27-K27</f>
        <v>179741.16000000003</v>
      </c>
      <c r="N27" s="38">
        <f t="shared" ref="N27:O29" si="34">H27/D27</f>
        <v>1</v>
      </c>
      <c r="O27" s="38">
        <f t="shared" si="34"/>
        <v>1</v>
      </c>
      <c r="P27" s="38"/>
      <c r="Q27" s="38"/>
      <c r="R27" s="38">
        <f>IFERROR((H27+I27+J27+K27)/(D27+E27+F27+G27),0)</f>
        <v>0.70701485435208089</v>
      </c>
      <c r="T27" s="20"/>
      <c r="U27" s="21"/>
    </row>
    <row r="28" spans="1:21" ht="15.95" customHeight="1">
      <c r="B28" s="39" t="s">
        <v>14</v>
      </c>
      <c r="C28" s="40">
        <f>SUM(D28:G28)</f>
        <v>1358459.9699999997</v>
      </c>
      <c r="D28" s="41">
        <f t="shared" ref="D28:G28" si="35">D29-D27</f>
        <v>4257.6599999999744</v>
      </c>
      <c r="E28" s="41">
        <f>E29-E27</f>
        <v>68621.31</v>
      </c>
      <c r="F28" s="41">
        <f t="shared" si="35"/>
        <v>580265.7853333333</v>
      </c>
      <c r="G28" s="41">
        <f t="shared" si="35"/>
        <v>705315.21466666658</v>
      </c>
      <c r="H28" s="41">
        <f>H29-H27</f>
        <v>4257.6599999999744</v>
      </c>
      <c r="I28" s="41">
        <f>I29-I27</f>
        <v>68621.31</v>
      </c>
      <c r="J28" s="41">
        <f>J29-J27</f>
        <v>378851.85000000009</v>
      </c>
      <c r="K28" s="41">
        <f>K29-K27</f>
        <v>0</v>
      </c>
      <c r="L28" s="41">
        <f>L29-L27</f>
        <v>451730.81999999995</v>
      </c>
      <c r="M28" s="41">
        <f>C28-H28-I28-J28-K28</f>
        <v>906729.14999999967</v>
      </c>
      <c r="N28" s="42">
        <f t="shared" si="34"/>
        <v>1</v>
      </c>
      <c r="O28" s="42">
        <f t="shared" si="34"/>
        <v>1</v>
      </c>
      <c r="P28" s="42"/>
      <c r="Q28" s="42"/>
      <c r="R28" s="42">
        <f>IFERROR((H28+I28+J28+K28)/(D28+E28+F28+G28),0)</f>
        <v>0.33253156513695442</v>
      </c>
      <c r="T28" s="20"/>
      <c r="U28" s="21"/>
    </row>
    <row r="29" spans="1:21" ht="15.95" customHeight="1">
      <c r="B29" s="43" t="s">
        <v>15</v>
      </c>
      <c r="C29" s="44">
        <f>SUM(D29:G29)</f>
        <v>1971942.13</v>
      </c>
      <c r="D29" s="44">
        <f>D4+D6+D23+D25</f>
        <v>149143.65999999997</v>
      </c>
      <c r="E29" s="44">
        <f t="shared" ref="E29:G29" si="36">E4+E6+E23+E25</f>
        <v>202588.31</v>
      </c>
      <c r="F29" s="44">
        <f t="shared" si="36"/>
        <v>747620.18533333333</v>
      </c>
      <c r="G29" s="44">
        <f t="shared" si="36"/>
        <v>872589.97466666659</v>
      </c>
      <c r="H29" s="44">
        <f>H4+H6+H23+H25</f>
        <v>149143.65999999997</v>
      </c>
      <c r="I29" s="44">
        <f t="shared" ref="I29:K29" si="37">I4+I6+I23+I25</f>
        <v>202588.31</v>
      </c>
      <c r="J29" s="44">
        <f t="shared" si="37"/>
        <v>533739.85000000009</v>
      </c>
      <c r="K29" s="44">
        <f t="shared" si="37"/>
        <v>0</v>
      </c>
      <c r="L29" s="44">
        <f>L4+L6+L23+L25</f>
        <v>885471.82</v>
      </c>
      <c r="M29" s="44">
        <f>C29-H29-I29-J29-K29</f>
        <v>1086470.3099999998</v>
      </c>
      <c r="N29" s="45">
        <f t="shared" si="34"/>
        <v>1</v>
      </c>
      <c r="O29" s="45">
        <f t="shared" si="34"/>
        <v>1</v>
      </c>
      <c r="P29" s="45"/>
      <c r="Q29" s="45"/>
      <c r="R29" s="45">
        <f>IFERROR((H29+I29+J29+K29)/(D29+E29+F29+G29),0)</f>
        <v>0.44903539841709256</v>
      </c>
      <c r="T29" s="20"/>
      <c r="U29" s="21"/>
    </row>
    <row r="30" spans="1:21" ht="15.95" customHeight="1">
      <c r="B30" s="35" t="s">
        <v>36</v>
      </c>
      <c r="C30" s="36"/>
      <c r="D30" s="46"/>
      <c r="E30" s="37"/>
      <c r="F30" s="37"/>
      <c r="G30" s="37">
        <f>D29+E29+F29+G29</f>
        <v>1971942.13</v>
      </c>
      <c r="H30" s="46"/>
      <c r="I30" s="37"/>
      <c r="J30" s="37"/>
      <c r="K30" s="37"/>
      <c r="L30" s="37"/>
      <c r="M30" s="37"/>
      <c r="N30" s="38"/>
      <c r="O30" s="38"/>
      <c r="P30" s="38"/>
      <c r="Q30" s="38"/>
      <c r="R30" s="38"/>
      <c r="T30" s="20"/>
      <c r="U30" s="21"/>
    </row>
    <row r="31" spans="1:21" ht="15.95" customHeight="1">
      <c r="D31" s="47"/>
      <c r="E31" s="47"/>
    </row>
    <row r="32" spans="1:21" ht="15.95" customHeight="1">
      <c r="B32" s="48"/>
      <c r="M32" s="49"/>
    </row>
    <row r="33" spans="4:13" ht="15.95" customHeight="1">
      <c r="H33" s="49"/>
      <c r="L33" s="50"/>
      <c r="M33" s="49"/>
    </row>
    <row r="34" spans="4:13" ht="15.95" customHeight="1">
      <c r="D34" s="49"/>
      <c r="L34" s="50"/>
      <c r="M34" s="49"/>
    </row>
    <row r="35" spans="4:13" ht="15.95" customHeight="1">
      <c r="L35" s="50"/>
      <c r="M35" s="49"/>
    </row>
    <row r="37" spans="4:13" ht="15.95" customHeight="1">
      <c r="D37" s="49"/>
    </row>
    <row r="38" spans="4:13" ht="15.95" customHeight="1">
      <c r="D38" s="49"/>
    </row>
  </sheetData>
  <autoFilter ref="A3:O30" xr:uid="{30D263DF-C9AA-E144-A1C0-5C5F1D37A725}"/>
  <mergeCells count="1">
    <mergeCell ref="D1:O1"/>
  </mergeCells>
  <conditionalFormatting sqref="D26:I26 K26">
    <cfRule type="cellIs" dxfId="18" priority="9" operator="lessThan">
      <formula>0</formula>
    </cfRule>
  </conditionalFormatting>
  <conditionalFormatting sqref="D24:K24">
    <cfRule type="cellIs" dxfId="17" priority="6" operator="lessThan">
      <formula>0</formula>
    </cfRule>
  </conditionalFormatting>
  <conditionalFormatting sqref="M4:M29">
    <cfRule type="cellIs" dxfId="16" priority="3" operator="lessThan">
      <formula>-1</formula>
    </cfRule>
  </conditionalFormatting>
  <conditionalFormatting sqref="N27:O29">
    <cfRule type="cellIs" dxfId="15" priority="2" operator="lessThan">
      <formula>-1</formula>
    </cfRule>
  </conditionalFormatting>
  <conditionalFormatting sqref="N24:R24">
    <cfRule type="cellIs" dxfId="14" priority="8" operator="lessThan">
      <formula>0</formula>
    </cfRule>
  </conditionalFormatting>
  <conditionalFormatting sqref="N26:R26">
    <cfRule type="cellIs" dxfId="13" priority="7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B44F9-F4DB-4669-B379-7D55F3276691}">
  <dimension ref="A1:U53"/>
  <sheetViews>
    <sheetView zoomScale="90" zoomScaleNormal="90" workbookViewId="0">
      <pane xSplit="2" ySplit="3" topLeftCell="C4" activePane="bottomRight" state="frozen"/>
      <selection activeCell="B1" sqref="B1"/>
      <selection pane="topRight" activeCell="C1" sqref="C1"/>
      <selection pane="bottomLeft" activeCell="B4" sqref="B4"/>
      <selection pane="bottomRight" activeCell="L41" sqref="L41"/>
    </sheetView>
  </sheetViews>
  <sheetFormatPr defaultColWidth="12.125" defaultRowHeight="15.95" customHeight="1"/>
  <cols>
    <col min="1" max="1" width="0.5" style="1" customWidth="1"/>
    <col min="2" max="2" width="76.625" style="1" customWidth="1"/>
    <col min="3" max="3" width="17.625" style="6" customWidth="1"/>
    <col min="4" max="10" width="16.625" style="1" customWidth="1"/>
    <col min="11" max="11" width="16.625" style="1" hidden="1" customWidth="1"/>
    <col min="12" max="13" width="16.625" style="1" customWidth="1"/>
    <col min="14" max="16" width="14.625" style="1" customWidth="1"/>
    <col min="17" max="17" width="14.625" style="1" hidden="1" customWidth="1"/>
    <col min="18" max="18" width="14.625" style="1" customWidth="1"/>
    <col min="19" max="19" width="31.5" style="1" customWidth="1"/>
    <col min="20" max="16384" width="12.125" style="1"/>
  </cols>
  <sheetData>
    <row r="1" spans="1:21" ht="20.25">
      <c r="B1" s="2" t="s">
        <v>16</v>
      </c>
      <c r="C1" s="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4"/>
      <c r="Q1" s="4"/>
    </row>
    <row r="2" spans="1:21" ht="15">
      <c r="B2" s="5"/>
      <c r="D2" s="7" t="s">
        <v>20</v>
      </c>
      <c r="E2" s="7" t="s">
        <v>20</v>
      </c>
      <c r="F2" s="7" t="s">
        <v>20</v>
      </c>
      <c r="G2" s="7" t="s">
        <v>20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</row>
    <row r="3" spans="1:21" s="13" customFormat="1" ht="42" customHeight="1">
      <c r="A3" s="9"/>
      <c r="B3" s="10" t="s">
        <v>1</v>
      </c>
      <c r="C3" s="11" t="s">
        <v>18</v>
      </c>
      <c r="D3" s="12" t="s">
        <v>58</v>
      </c>
      <c r="E3" s="12" t="s">
        <v>59</v>
      </c>
      <c r="F3" s="12" t="s">
        <v>60</v>
      </c>
      <c r="G3" s="12" t="s">
        <v>61</v>
      </c>
      <c r="H3" s="12" t="s">
        <v>2</v>
      </c>
      <c r="I3" s="12" t="s">
        <v>3</v>
      </c>
      <c r="J3" s="12" t="s">
        <v>4</v>
      </c>
      <c r="K3" s="12" t="s">
        <v>5</v>
      </c>
      <c r="L3" s="12" t="s">
        <v>17</v>
      </c>
      <c r="M3" s="12" t="s">
        <v>6</v>
      </c>
      <c r="N3" s="12" t="s">
        <v>7</v>
      </c>
      <c r="O3" s="12" t="s">
        <v>8</v>
      </c>
      <c r="P3" s="12" t="s">
        <v>9</v>
      </c>
      <c r="Q3" s="12" t="s">
        <v>10</v>
      </c>
      <c r="R3" s="12" t="s">
        <v>31</v>
      </c>
      <c r="S3" s="12" t="s">
        <v>62</v>
      </c>
    </row>
    <row r="4" spans="1:21" s="13" customFormat="1" ht="15">
      <c r="B4" s="15" t="s">
        <v>37</v>
      </c>
      <c r="C4" s="52">
        <f t="shared" ref="C4:I4" si="0">SUM(C5:C6)</f>
        <v>273676</v>
      </c>
      <c r="D4" s="52">
        <f t="shared" si="0"/>
        <v>0</v>
      </c>
      <c r="E4" s="52">
        <f t="shared" si="0"/>
        <v>22763</v>
      </c>
      <c r="F4" s="52">
        <f t="shared" si="0"/>
        <v>71715</v>
      </c>
      <c r="G4" s="52">
        <f t="shared" si="0"/>
        <v>179198</v>
      </c>
      <c r="H4" s="52">
        <f t="shared" si="0"/>
        <v>0</v>
      </c>
      <c r="I4" s="52">
        <f t="shared" si="0"/>
        <v>22762.959999999999</v>
      </c>
      <c r="J4" s="52">
        <f>SUM(J5:J6)</f>
        <v>27224.639999999999</v>
      </c>
      <c r="K4" s="52">
        <f t="shared" ref="K4" si="1">SUM(K5:K6)</f>
        <v>0</v>
      </c>
      <c r="L4" s="52">
        <f>SUM(L5:L6)</f>
        <v>49987.6</v>
      </c>
      <c r="M4" s="52">
        <f>SUM(M5:M6)</f>
        <v>223688.4</v>
      </c>
      <c r="N4" s="19">
        <f>IFERROR(H4/D4,0)</f>
        <v>0</v>
      </c>
      <c r="O4" s="19">
        <f t="shared" ref="N4:Q38" si="2">IFERROR(I4/E4,0)</f>
        <v>0.99999824276237748</v>
      </c>
      <c r="P4" s="19">
        <f t="shared" si="2"/>
        <v>0.37962267308094538</v>
      </c>
      <c r="Q4" s="19">
        <f t="shared" si="2"/>
        <v>0</v>
      </c>
      <c r="R4" s="19">
        <f>IFERROR((H4+I4+J4+K4)/(D4+E4+F4+G4),0)</f>
        <v>0.18265247957438724</v>
      </c>
      <c r="T4" s="20"/>
      <c r="U4" s="21"/>
    </row>
    <row r="5" spans="1:21" s="13" customFormat="1" ht="27" customHeight="1">
      <c r="A5" s="14"/>
      <c r="B5" s="26" t="s">
        <v>38</v>
      </c>
      <c r="C5" s="51">
        <f>SUM(D5:G5)</f>
        <v>170257</v>
      </c>
      <c r="D5" s="22">
        <v>0</v>
      </c>
      <c r="E5" s="22">
        <v>0</v>
      </c>
      <c r="F5" s="22">
        <v>42564</v>
      </c>
      <c r="G5" s="22">
        <v>127693</v>
      </c>
      <c r="H5" s="23">
        <v>0</v>
      </c>
      <c r="I5" s="23">
        <v>0</v>
      </c>
      <c r="J5" s="23">
        <v>3481.92</v>
      </c>
      <c r="K5" s="23"/>
      <c r="L5" s="23">
        <f>SUM(H5:K5)</f>
        <v>3481.92</v>
      </c>
      <c r="M5" s="22">
        <f t="shared" ref="M5:M38" si="3">C5-L5</f>
        <v>166775.07999999999</v>
      </c>
      <c r="N5" s="25">
        <f>IFERROR(H5/D5,0)</f>
        <v>0</v>
      </c>
      <c r="O5" s="25">
        <f t="shared" si="2"/>
        <v>0</v>
      </c>
      <c r="P5" s="25">
        <f>IFERROR(J5/F5,0)</f>
        <v>8.1804341697208904E-2</v>
      </c>
      <c r="Q5" s="25">
        <f t="shared" si="2"/>
        <v>0</v>
      </c>
      <c r="R5" s="25">
        <f>IFERROR((H5+I5+J5+K5)/(D5+E5+F5+G5),0)</f>
        <v>2.0450965305391262E-2</v>
      </c>
      <c r="S5" s="13" t="s">
        <v>63</v>
      </c>
      <c r="T5" s="61"/>
      <c r="U5" s="21"/>
    </row>
    <row r="6" spans="1:21" s="13" customFormat="1" ht="14.25">
      <c r="A6" s="14">
        <v>1</v>
      </c>
      <c r="B6" s="26" t="s">
        <v>77</v>
      </c>
      <c r="C6" s="51">
        <f>SUM(D6:G6)</f>
        <v>103419</v>
      </c>
      <c r="D6" s="22">
        <v>0</v>
      </c>
      <c r="E6" s="22">
        <v>22763</v>
      </c>
      <c r="F6" s="22">
        <v>29151</v>
      </c>
      <c r="G6" s="22">
        <v>51505</v>
      </c>
      <c r="H6" s="23"/>
      <c r="I6" s="23">
        <v>22762.959999999999</v>
      </c>
      <c r="J6" s="69">
        <v>23742.720000000001</v>
      </c>
      <c r="K6" s="23"/>
      <c r="L6" s="23">
        <f>SUM(H6:K6)</f>
        <v>46505.68</v>
      </c>
      <c r="M6" s="22">
        <f t="shared" si="3"/>
        <v>56913.32</v>
      </c>
      <c r="N6" s="25">
        <f>IFERROR(H6/D6,0)</f>
        <v>0</v>
      </c>
      <c r="O6" s="25">
        <f t="shared" ref="O6" si="4">IFERROR(I6/E6,0)</f>
        <v>0.99999824276237748</v>
      </c>
      <c r="P6" s="25">
        <f t="shared" ref="P6" si="5">IFERROR(J6/F6,0)</f>
        <v>0.81447360296387783</v>
      </c>
      <c r="Q6" s="25">
        <f t="shared" ref="Q6" si="6">IFERROR(K6/G6,0)</f>
        <v>0</v>
      </c>
      <c r="R6" s="25">
        <f>IFERROR((H6+I6+J6+K6)/(D6+E6+F6+G6),0)</f>
        <v>0.4496821667198484</v>
      </c>
      <c r="S6" s="13" t="s">
        <v>63</v>
      </c>
      <c r="T6" s="61"/>
      <c r="U6" s="21"/>
    </row>
    <row r="7" spans="1:21" s="13" customFormat="1" ht="15">
      <c r="B7" s="15" t="s">
        <v>11</v>
      </c>
      <c r="C7" s="52">
        <f>SUM(C8:C10)</f>
        <v>62418.6</v>
      </c>
      <c r="D7" s="52">
        <f t="shared" ref="D7:G7" si="7">SUM(D8:D10)</f>
        <v>16348</v>
      </c>
      <c r="E7" s="52">
        <f t="shared" si="7"/>
        <v>12483</v>
      </c>
      <c r="F7" s="52">
        <f t="shared" si="7"/>
        <v>706</v>
      </c>
      <c r="G7" s="52">
        <f t="shared" si="7"/>
        <v>32881.599999999999</v>
      </c>
      <c r="H7" s="52">
        <f>SUM(H8:H10)</f>
        <v>16348</v>
      </c>
      <c r="I7" s="52">
        <f>SUM(I8:I10)</f>
        <v>12483</v>
      </c>
      <c r="J7" s="52">
        <f t="shared" ref="J7" si="8">SUM(J8:J10)</f>
        <v>696.3839999999999</v>
      </c>
      <c r="K7" s="52">
        <f t="shared" ref="K7" si="9">SUM(K8:K10)</f>
        <v>0</v>
      </c>
      <c r="L7" s="52">
        <f>SUM(L8:L10)</f>
        <v>29527.383999999998</v>
      </c>
      <c r="M7" s="17">
        <f>C7-L7</f>
        <v>32891.216</v>
      </c>
      <c r="N7" s="19">
        <f>IFERROR(H7/D7,0)</f>
        <v>1</v>
      </c>
      <c r="O7" s="19">
        <f t="shared" ref="O7:O10" si="10">IFERROR(I7/E7,0)</f>
        <v>1</v>
      </c>
      <c r="P7" s="19">
        <f t="shared" ref="P7:P10" si="11">IFERROR(J7/F7,0)</f>
        <v>0.98637960339943331</v>
      </c>
      <c r="Q7" s="19">
        <f t="shared" ref="Q7:Q10" si="12">IFERROR(K7/G7,0)</f>
        <v>0</v>
      </c>
      <c r="R7" s="19">
        <f t="shared" ref="R7:R10" si="13">IFERROR((H7+I7+J7+K7)/(D7+E7+F7+G7),0)</f>
        <v>0.47305424985501116</v>
      </c>
      <c r="T7" s="20"/>
      <c r="U7" s="21"/>
    </row>
    <row r="8" spans="1:21" s="13" customFormat="1" ht="27" customHeight="1">
      <c r="A8" s="14"/>
      <c r="B8" s="26" t="s">
        <v>39</v>
      </c>
      <c r="C8" s="51">
        <f>SUM(D8:G8)</f>
        <v>10000</v>
      </c>
      <c r="D8" s="22">
        <v>0</v>
      </c>
      <c r="E8" s="22">
        <v>0</v>
      </c>
      <c r="F8" s="22">
        <v>0</v>
      </c>
      <c r="G8" s="22">
        <v>10000</v>
      </c>
      <c r="H8" s="23"/>
      <c r="I8" s="23">
        <v>0</v>
      </c>
      <c r="J8" s="23">
        <v>0</v>
      </c>
      <c r="K8" s="23"/>
      <c r="L8" s="23">
        <f t="shared" ref="L8:L9" si="14">SUM(H8:K8)</f>
        <v>0</v>
      </c>
      <c r="M8" s="22">
        <f t="shared" ref="M8:M9" si="15">C8-L8</f>
        <v>10000</v>
      </c>
      <c r="N8" s="25">
        <f t="shared" ref="N8:N9" si="16">IFERROR(H8/D8,0)</f>
        <v>0</v>
      </c>
      <c r="O8" s="25">
        <f t="shared" ref="O8:O9" si="17">IFERROR(I8/E8,0)</f>
        <v>0</v>
      </c>
      <c r="P8" s="25">
        <f>IFERROR(J8/F8,0)</f>
        <v>0</v>
      </c>
      <c r="Q8" s="25">
        <f t="shared" ref="Q8:Q9" si="18">IFERROR(K8/G8,0)</f>
        <v>0</v>
      </c>
      <c r="R8" s="25">
        <f t="shared" ref="R8:R9" si="19">IFERROR((H8+I8+J8+K8)/(D8+E8+F8+G8),0)</f>
        <v>0</v>
      </c>
      <c r="S8" s="62" t="s">
        <v>64</v>
      </c>
      <c r="T8" s="20"/>
      <c r="U8" s="21"/>
    </row>
    <row r="9" spans="1:21" s="13" customFormat="1" ht="14.25">
      <c r="A9" s="14">
        <v>1</v>
      </c>
      <c r="B9" s="26" t="s">
        <v>40</v>
      </c>
      <c r="C9" s="51">
        <f>SUM(D9:G9)</f>
        <v>29537</v>
      </c>
      <c r="D9" s="22">
        <v>16348</v>
      </c>
      <c r="E9" s="22">
        <v>12483</v>
      </c>
      <c r="F9" s="22">
        <v>706</v>
      </c>
      <c r="G9" s="22">
        <v>0</v>
      </c>
      <c r="H9" s="23">
        <v>16348</v>
      </c>
      <c r="I9" s="23">
        <v>12483</v>
      </c>
      <c r="J9" s="69">
        <v>696.3839999999999</v>
      </c>
      <c r="K9" s="23"/>
      <c r="L9" s="23">
        <f t="shared" si="14"/>
        <v>29527.383999999998</v>
      </c>
      <c r="M9" s="22">
        <f t="shared" si="15"/>
        <v>9.6160000000018044</v>
      </c>
      <c r="N9" s="25">
        <f t="shared" si="16"/>
        <v>1</v>
      </c>
      <c r="O9" s="25">
        <f t="shared" si="17"/>
        <v>1</v>
      </c>
      <c r="P9" s="25">
        <f t="shared" ref="P9" si="20">IFERROR(J9/F9,0)</f>
        <v>0.98637960339943331</v>
      </c>
      <c r="Q9" s="25">
        <f t="shared" si="18"/>
        <v>0</v>
      </c>
      <c r="R9" s="25">
        <f t="shared" si="19"/>
        <v>0.9996744422250059</v>
      </c>
      <c r="S9" s="62" t="s">
        <v>64</v>
      </c>
      <c r="T9" s="20"/>
      <c r="U9" s="21"/>
    </row>
    <row r="10" spans="1:21" s="13" customFormat="1" ht="14.25">
      <c r="A10" s="14">
        <v>1</v>
      </c>
      <c r="B10" s="26" t="s">
        <v>41</v>
      </c>
      <c r="C10" s="51">
        <f>SUM(D10:G10)</f>
        <v>22881.599999999999</v>
      </c>
      <c r="D10" s="22">
        <v>0</v>
      </c>
      <c r="E10" s="22">
        <v>0</v>
      </c>
      <c r="F10" s="22">
        <v>0</v>
      </c>
      <c r="G10" s="22">
        <v>22881.599999999999</v>
      </c>
      <c r="H10" s="23">
        <v>0</v>
      </c>
      <c r="I10" s="23">
        <v>0</v>
      </c>
      <c r="J10" s="69">
        <v>0</v>
      </c>
      <c r="K10" s="23"/>
      <c r="L10" s="23">
        <f t="shared" ref="L10" si="21">SUM(H10:K10)</f>
        <v>0</v>
      </c>
      <c r="M10" s="22">
        <f t="shared" ref="M10" si="22">C10-L10</f>
        <v>22881.599999999999</v>
      </c>
      <c r="N10" s="25">
        <f t="shared" ref="N10" si="23">IFERROR(H10/D10,0)</f>
        <v>0</v>
      </c>
      <c r="O10" s="25">
        <f t="shared" si="10"/>
        <v>0</v>
      </c>
      <c r="P10" s="25">
        <f t="shared" si="11"/>
        <v>0</v>
      </c>
      <c r="Q10" s="25">
        <f t="shared" si="12"/>
        <v>0</v>
      </c>
      <c r="R10" s="25">
        <f t="shared" si="13"/>
        <v>0</v>
      </c>
      <c r="T10" s="20"/>
      <c r="U10" s="21"/>
    </row>
    <row r="11" spans="1:21" s="13" customFormat="1" ht="15">
      <c r="B11" s="15" t="s">
        <v>12</v>
      </c>
      <c r="C11" s="52">
        <f t="shared" ref="C11:I11" si="24">SUM(C12:C19)</f>
        <v>1310539.6599999999</v>
      </c>
      <c r="D11" s="52">
        <f t="shared" si="24"/>
        <v>319997.97800000006</v>
      </c>
      <c r="E11" s="52">
        <f t="shared" si="24"/>
        <v>157979.18199999997</v>
      </c>
      <c r="F11" s="52">
        <f t="shared" si="24"/>
        <v>233112</v>
      </c>
      <c r="G11" s="52">
        <f t="shared" si="24"/>
        <v>599450.5</v>
      </c>
      <c r="H11" s="52">
        <f t="shared" si="24"/>
        <v>319997.97800000006</v>
      </c>
      <c r="I11" s="52">
        <f t="shared" si="24"/>
        <v>157979.18199999997</v>
      </c>
      <c r="J11" s="52">
        <f t="shared" ref="J11:K11" si="25">SUM(J12:J19)</f>
        <v>160134.38</v>
      </c>
      <c r="K11" s="52">
        <f t="shared" si="25"/>
        <v>0</v>
      </c>
      <c r="L11" s="52">
        <f>SUM(L12:L19)</f>
        <v>638111.54000000015</v>
      </c>
      <c r="M11" s="17">
        <f>C11-L11</f>
        <v>672428.11999999976</v>
      </c>
      <c r="N11" s="19">
        <f t="shared" si="2"/>
        <v>1</v>
      </c>
      <c r="O11" s="19">
        <f t="shared" si="2"/>
        <v>1</v>
      </c>
      <c r="P11" s="19">
        <f>IFERROR(J11/F11,0)</f>
        <v>0.68694181337726079</v>
      </c>
      <c r="Q11" s="19">
        <f t="shared" si="2"/>
        <v>0</v>
      </c>
      <c r="R11" s="19">
        <f t="shared" ref="R5:R41" si="26">IFERROR((H11+I11+J11+K11)/(D11+E11+F11+G11),0)</f>
        <v>0.48690746222819381</v>
      </c>
      <c r="T11" s="20"/>
      <c r="U11" s="21"/>
    </row>
    <row r="12" spans="1:21" s="13" customFormat="1" ht="14.25">
      <c r="B12" s="26" t="s">
        <v>43</v>
      </c>
      <c r="C12" s="60">
        <f t="shared" ref="C12:C19" si="27">SUM(D12:G12)</f>
        <v>340000.2</v>
      </c>
      <c r="D12" s="23">
        <v>181021.40000000002</v>
      </c>
      <c r="E12" s="23">
        <v>51166.799999999988</v>
      </c>
      <c r="F12" s="23">
        <v>42812</v>
      </c>
      <c r="G12" s="66">
        <v>65000</v>
      </c>
      <c r="H12" s="23">
        <f>127834.28+22761*1.22+20835*1.22</f>
        <v>181021.40000000002</v>
      </c>
      <c r="I12" s="23">
        <v>51166.799999999988</v>
      </c>
      <c r="J12" s="23">
        <v>43947.330000000016</v>
      </c>
      <c r="K12" s="59"/>
      <c r="L12" s="23">
        <f>SUM(H12:K12)</f>
        <v>276135.53000000003</v>
      </c>
      <c r="M12" s="23">
        <f t="shared" si="3"/>
        <v>63864.669999999984</v>
      </c>
      <c r="N12" s="24">
        <f t="shared" si="2"/>
        <v>1</v>
      </c>
      <c r="O12" s="25">
        <f t="shared" si="2"/>
        <v>1</v>
      </c>
      <c r="P12" s="25">
        <f t="shared" si="2"/>
        <v>1.0265189666448664</v>
      </c>
      <c r="Q12" s="25">
        <f t="shared" si="2"/>
        <v>0</v>
      </c>
      <c r="R12" s="25">
        <f t="shared" si="26"/>
        <v>0.81216284578656139</v>
      </c>
      <c r="S12" s="62" t="s">
        <v>65</v>
      </c>
      <c r="T12" s="20"/>
      <c r="U12" s="21"/>
    </row>
    <row r="13" spans="1:21" s="13" customFormat="1" ht="14.25">
      <c r="B13" s="26" t="s">
        <v>44</v>
      </c>
      <c r="C13" s="51">
        <f t="shared" si="27"/>
        <v>64915</v>
      </c>
      <c r="D13" s="22">
        <v>63280.422000000006</v>
      </c>
      <c r="E13" s="22">
        <v>1379.5779999999941</v>
      </c>
      <c r="F13" s="22">
        <v>255</v>
      </c>
      <c r="G13" s="22">
        <v>0</v>
      </c>
      <c r="H13" s="23">
        <f>47130.55+((4827.6+8410)*1.22)</f>
        <v>63280.422000000006</v>
      </c>
      <c r="I13" s="23">
        <v>1379.5779999999941</v>
      </c>
      <c r="J13" s="23">
        <v>0</v>
      </c>
      <c r="K13" s="23"/>
      <c r="L13" s="23">
        <f t="shared" ref="L13:L19" si="28">SUM(H13:K13)</f>
        <v>64660</v>
      </c>
      <c r="M13" s="22">
        <f t="shared" si="3"/>
        <v>255</v>
      </c>
      <c r="N13" s="25">
        <f t="shared" si="2"/>
        <v>1</v>
      </c>
      <c r="O13" s="25">
        <f t="shared" si="2"/>
        <v>1</v>
      </c>
      <c r="P13" s="25">
        <f t="shared" si="2"/>
        <v>0</v>
      </c>
      <c r="Q13" s="25">
        <f t="shared" si="2"/>
        <v>0</v>
      </c>
      <c r="R13" s="25">
        <f t="shared" si="26"/>
        <v>0.99607178618193026</v>
      </c>
      <c r="S13" s="13" t="s">
        <v>66</v>
      </c>
      <c r="T13" s="20"/>
      <c r="U13" s="21"/>
    </row>
    <row r="14" spans="1:21" s="13" customFormat="1" ht="14.25">
      <c r="B14" s="26" t="s">
        <v>45</v>
      </c>
      <c r="C14" s="60">
        <f t="shared" si="27"/>
        <v>454999.95999999996</v>
      </c>
      <c r="D14" s="23">
        <v>53277.155999999995</v>
      </c>
      <c r="E14" s="23">
        <v>83374.804000000004</v>
      </c>
      <c r="F14" s="23">
        <v>84174</v>
      </c>
      <c r="G14" s="66">
        <f>84174+150000</f>
        <v>234174</v>
      </c>
      <c r="H14" s="23">
        <f>22604.16+19261.8*1.22+5880*1.22</f>
        <v>53277.155999999995</v>
      </c>
      <c r="I14" s="23">
        <v>83374.804000000004</v>
      </c>
      <c r="J14" s="23">
        <v>62575.610000000008</v>
      </c>
      <c r="K14" s="23"/>
      <c r="L14" s="23">
        <f t="shared" si="28"/>
        <v>199227.57</v>
      </c>
      <c r="M14" s="23">
        <f t="shared" si="3"/>
        <v>255772.38999999996</v>
      </c>
      <c r="N14" s="24">
        <f t="shared" si="2"/>
        <v>1</v>
      </c>
      <c r="O14" s="24">
        <f t="shared" si="2"/>
        <v>1</v>
      </c>
      <c r="P14" s="24">
        <f t="shared" si="2"/>
        <v>0.74340782189274612</v>
      </c>
      <c r="Q14" s="24">
        <f t="shared" si="2"/>
        <v>0</v>
      </c>
      <c r="R14" s="24">
        <f t="shared" si="26"/>
        <v>0.43786282970222684</v>
      </c>
      <c r="S14" s="13" t="s">
        <v>67</v>
      </c>
      <c r="T14" s="20"/>
      <c r="U14" s="21"/>
    </row>
    <row r="15" spans="1:21" s="13" customFormat="1" ht="14.25">
      <c r="B15" s="26" t="s">
        <v>78</v>
      </c>
      <c r="C15" s="60">
        <f t="shared" si="27"/>
        <v>98778</v>
      </c>
      <c r="D15" s="23">
        <v>0</v>
      </c>
      <c r="E15" s="23">
        <v>0</v>
      </c>
      <c r="F15" s="23">
        <v>36989</v>
      </c>
      <c r="G15" s="23">
        <v>61789</v>
      </c>
      <c r="H15" s="23">
        <v>0</v>
      </c>
      <c r="I15" s="23">
        <v>0</v>
      </c>
      <c r="J15" s="23">
        <v>25774.39</v>
      </c>
      <c r="K15" s="23"/>
      <c r="L15" s="23">
        <f t="shared" ref="L15:L17" si="29">SUM(H15:K15)</f>
        <v>25774.39</v>
      </c>
      <c r="M15" s="23">
        <f t="shared" ref="M15:M17" si="30">C15-L15</f>
        <v>73003.61</v>
      </c>
      <c r="N15" s="24">
        <f t="shared" ref="N15:N17" si="31">IFERROR(H15/D15,0)</f>
        <v>0</v>
      </c>
      <c r="O15" s="24">
        <f t="shared" ref="O15:O17" si="32">IFERROR(I15/E15,0)</f>
        <v>0</v>
      </c>
      <c r="P15" s="24">
        <f t="shared" ref="P15:P17" si="33">IFERROR(J15/F15,0)</f>
        <v>0.69681229554732482</v>
      </c>
      <c r="Q15" s="24">
        <f t="shared" ref="Q15:Q17" si="34">IFERROR(K15/G15,0)</f>
        <v>0</v>
      </c>
      <c r="R15" s="24">
        <f t="shared" ref="R15:R17" si="35">IFERROR((H15+I15+J15+K15)/(D15+E15+F15+G15),0)</f>
        <v>0.26093249508999977</v>
      </c>
      <c r="T15" s="20"/>
      <c r="U15" s="21"/>
    </row>
    <row r="16" spans="1:21" s="13" customFormat="1" ht="14.25">
      <c r="B16" s="26" t="s">
        <v>79</v>
      </c>
      <c r="C16" s="60">
        <f t="shared" si="27"/>
        <v>15000</v>
      </c>
      <c r="D16" s="23">
        <v>0</v>
      </c>
      <c r="E16" s="23">
        <v>0</v>
      </c>
      <c r="F16" s="23">
        <v>15000</v>
      </c>
      <c r="G16" s="23">
        <v>0</v>
      </c>
      <c r="H16" s="23">
        <v>0</v>
      </c>
      <c r="I16" s="23">
        <v>0</v>
      </c>
      <c r="J16" s="23">
        <v>462.02</v>
      </c>
      <c r="K16" s="23"/>
      <c r="L16" s="23">
        <f t="shared" si="29"/>
        <v>462.02</v>
      </c>
      <c r="M16" s="23">
        <f t="shared" si="30"/>
        <v>14537.98</v>
      </c>
      <c r="N16" s="24">
        <f t="shared" si="31"/>
        <v>0</v>
      </c>
      <c r="O16" s="24">
        <f t="shared" si="32"/>
        <v>0</v>
      </c>
      <c r="P16" s="24">
        <f t="shared" si="33"/>
        <v>3.0801333333333333E-2</v>
      </c>
      <c r="Q16" s="24">
        <f t="shared" si="34"/>
        <v>0</v>
      </c>
      <c r="R16" s="24">
        <f t="shared" si="35"/>
        <v>3.0801333333333333E-2</v>
      </c>
      <c r="T16" s="20"/>
      <c r="U16" s="21"/>
    </row>
    <row r="17" spans="1:21" s="13" customFormat="1" ht="28.5">
      <c r="B17" s="26" t="s">
        <v>80</v>
      </c>
      <c r="C17" s="60">
        <f t="shared" si="27"/>
        <v>124000</v>
      </c>
      <c r="D17" s="23">
        <v>0</v>
      </c>
      <c r="E17" s="23">
        <v>0</v>
      </c>
      <c r="F17" s="23">
        <v>31000</v>
      </c>
      <c r="G17" s="23">
        <v>93000</v>
      </c>
      <c r="H17" s="23">
        <v>0</v>
      </c>
      <c r="I17" s="23">
        <v>0</v>
      </c>
      <c r="J17" s="23">
        <v>3871.03</v>
      </c>
      <c r="K17" s="23"/>
      <c r="L17" s="23">
        <f t="shared" si="29"/>
        <v>3871.03</v>
      </c>
      <c r="M17" s="23">
        <f t="shared" si="30"/>
        <v>120128.97</v>
      </c>
      <c r="N17" s="24">
        <f t="shared" si="31"/>
        <v>0</v>
      </c>
      <c r="O17" s="24">
        <f t="shared" si="32"/>
        <v>0</v>
      </c>
      <c r="P17" s="24">
        <f t="shared" si="33"/>
        <v>0.12487193548387097</v>
      </c>
      <c r="Q17" s="24">
        <f t="shared" si="34"/>
        <v>0</v>
      </c>
      <c r="R17" s="24">
        <f t="shared" si="35"/>
        <v>3.1217983870967744E-2</v>
      </c>
      <c r="T17" s="20"/>
      <c r="U17" s="21"/>
    </row>
    <row r="18" spans="1:21" s="13" customFormat="1" ht="14.25">
      <c r="B18" s="26" t="s">
        <v>84</v>
      </c>
      <c r="C18" s="60">
        <f t="shared" si="27"/>
        <v>125000</v>
      </c>
      <c r="D18" s="23"/>
      <c r="E18" s="23"/>
      <c r="F18" s="23"/>
      <c r="G18" s="66">
        <v>125000</v>
      </c>
      <c r="H18" s="23">
        <v>0</v>
      </c>
      <c r="I18" s="23">
        <v>0</v>
      </c>
      <c r="J18" s="23">
        <v>0</v>
      </c>
      <c r="K18" s="23"/>
      <c r="L18" s="23">
        <f t="shared" ref="L18" si="36">SUM(H18:K18)</f>
        <v>0</v>
      </c>
      <c r="M18" s="23">
        <f t="shared" ref="M18" si="37">C18-L18</f>
        <v>125000</v>
      </c>
      <c r="N18" s="24">
        <f t="shared" ref="N18" si="38">IFERROR(H18/D18,0)</f>
        <v>0</v>
      </c>
      <c r="O18" s="24">
        <f t="shared" ref="O18" si="39">IFERROR(I18/E18,0)</f>
        <v>0</v>
      </c>
      <c r="P18" s="24">
        <f t="shared" ref="P18" si="40">IFERROR(J18/F18,0)</f>
        <v>0</v>
      </c>
      <c r="Q18" s="24">
        <f t="shared" ref="Q18" si="41">IFERROR(K18/G18,0)</f>
        <v>0</v>
      </c>
      <c r="R18" s="24">
        <f t="shared" ref="R18" si="42">IFERROR((H18+I18+J18+K18)/(D18+E18+F18+G18),0)</f>
        <v>0</v>
      </c>
      <c r="T18" s="20"/>
      <c r="U18" s="21"/>
    </row>
    <row r="19" spans="1:21" s="13" customFormat="1" ht="14.25">
      <c r="A19" s="13">
        <v>1</v>
      </c>
      <c r="B19" s="26" t="s">
        <v>41</v>
      </c>
      <c r="C19" s="51">
        <f t="shared" si="27"/>
        <v>87846.5</v>
      </c>
      <c r="D19" s="22">
        <v>22419</v>
      </c>
      <c r="E19" s="22">
        <v>22058</v>
      </c>
      <c r="F19" s="22">
        <v>22882</v>
      </c>
      <c r="G19" s="22">
        <v>20487.5</v>
      </c>
      <c r="H19" s="23">
        <v>22419</v>
      </c>
      <c r="I19" s="23">
        <v>22058</v>
      </c>
      <c r="J19" s="69">
        <v>23504</v>
      </c>
      <c r="K19" s="23"/>
      <c r="L19" s="23">
        <f t="shared" si="28"/>
        <v>67981</v>
      </c>
      <c r="M19" s="22">
        <f t="shared" si="3"/>
        <v>19865.5</v>
      </c>
      <c r="N19" s="25">
        <f t="shared" si="2"/>
        <v>1</v>
      </c>
      <c r="O19" s="25">
        <f t="shared" si="2"/>
        <v>1</v>
      </c>
      <c r="P19" s="25">
        <f t="shared" si="2"/>
        <v>1.0271829385543221</v>
      </c>
      <c r="Q19" s="25">
        <f t="shared" si="2"/>
        <v>0</v>
      </c>
      <c r="R19" s="25">
        <f t="shared" si="26"/>
        <v>0.77386122383931066</v>
      </c>
      <c r="T19" s="20"/>
      <c r="U19" s="21"/>
    </row>
    <row r="20" spans="1:21" s="13" customFormat="1" ht="15">
      <c r="B20" s="15" t="s">
        <v>32</v>
      </c>
      <c r="C20" s="52">
        <f>SUM(C21:C29)</f>
        <v>1119666.1300000001</v>
      </c>
      <c r="D20" s="52">
        <f t="shared" ref="D20:K20" si="43">SUM(D21:D29)</f>
        <v>120513.2</v>
      </c>
      <c r="E20" s="52">
        <f t="shared" si="43"/>
        <v>252548.93000000002</v>
      </c>
      <c r="F20" s="52">
        <f t="shared" si="43"/>
        <v>371659.5</v>
      </c>
      <c r="G20" s="52">
        <f t="shared" si="43"/>
        <v>374944.5</v>
      </c>
      <c r="H20" s="52">
        <f>SUM(H21:H29)</f>
        <v>120513.2</v>
      </c>
      <c r="I20" s="52">
        <f>SUM(I21:I29)</f>
        <v>252548.93000000002</v>
      </c>
      <c r="J20" s="52">
        <f t="shared" si="43"/>
        <v>328285.89</v>
      </c>
      <c r="K20" s="52">
        <f t="shared" si="43"/>
        <v>0</v>
      </c>
      <c r="L20" s="52">
        <f>SUM(L21:L29)</f>
        <v>701348.02</v>
      </c>
      <c r="M20" s="17">
        <f t="shared" si="3"/>
        <v>418318.1100000001</v>
      </c>
      <c r="N20" s="19">
        <f t="shared" si="2"/>
        <v>1</v>
      </c>
      <c r="O20" s="19">
        <f t="shared" si="2"/>
        <v>1</v>
      </c>
      <c r="P20" s="19">
        <f t="shared" si="2"/>
        <v>0.88329745371771751</v>
      </c>
      <c r="Q20" s="19">
        <f t="shared" si="2"/>
        <v>0</v>
      </c>
      <c r="R20" s="19">
        <f t="shared" si="26"/>
        <v>0.62639031512009757</v>
      </c>
      <c r="T20" s="20"/>
      <c r="U20" s="21"/>
    </row>
    <row r="21" spans="1:21" s="13" customFormat="1" ht="14.25">
      <c r="B21" s="26" t="s">
        <v>46</v>
      </c>
      <c r="C21" s="55">
        <f t="shared" ref="C21:C29" si="44">SUM(D21:G21)</f>
        <v>19737.38</v>
      </c>
      <c r="D21" s="56">
        <v>3432.04</v>
      </c>
      <c r="E21" s="56">
        <v>16305.34</v>
      </c>
      <c r="F21" s="57">
        <v>0</v>
      </c>
      <c r="G21" s="57">
        <v>0</v>
      </c>
      <c r="H21" s="57">
        <v>3432.04</v>
      </c>
      <c r="I21" s="57">
        <v>16305.34</v>
      </c>
      <c r="J21" s="57">
        <v>8.3499999999994543</v>
      </c>
      <c r="K21" s="57"/>
      <c r="L21" s="23">
        <f t="shared" ref="L21:L29" si="45">SUM(H21:K21)</f>
        <v>19745.73</v>
      </c>
      <c r="M21" s="57">
        <f t="shared" si="3"/>
        <v>-8.3499999999985448</v>
      </c>
      <c r="N21" s="58">
        <f t="shared" si="2"/>
        <v>1</v>
      </c>
      <c r="O21" s="58">
        <f t="shared" si="2"/>
        <v>1</v>
      </c>
      <c r="P21" s="58">
        <f t="shared" si="2"/>
        <v>0</v>
      </c>
      <c r="Q21" s="58">
        <f t="shared" si="2"/>
        <v>0</v>
      </c>
      <c r="R21" s="58">
        <f t="shared" si="26"/>
        <v>1.0004230551370039</v>
      </c>
      <c r="S21" s="13" t="s">
        <v>68</v>
      </c>
      <c r="T21" s="20"/>
      <c r="U21" s="21"/>
    </row>
    <row r="22" spans="1:21" s="13" customFormat="1" ht="14.25">
      <c r="B22" s="26" t="s">
        <v>47</v>
      </c>
      <c r="C22" s="51">
        <f t="shared" si="44"/>
        <v>74999.240000000005</v>
      </c>
      <c r="D22" s="53">
        <v>73009.22</v>
      </c>
      <c r="E22" s="53">
        <v>1893.0200000000041</v>
      </c>
      <c r="F22" s="29">
        <v>97</v>
      </c>
      <c r="G22" s="29">
        <v>0</v>
      </c>
      <c r="H22" s="29">
        <v>73009.22</v>
      </c>
      <c r="I22" s="29">
        <v>1893.0200000000041</v>
      </c>
      <c r="J22" s="29">
        <v>0</v>
      </c>
      <c r="K22" s="29"/>
      <c r="L22" s="23">
        <f t="shared" si="45"/>
        <v>74902.240000000005</v>
      </c>
      <c r="M22" s="29">
        <f t="shared" ref="M22:M25" si="46">C22-L22</f>
        <v>97</v>
      </c>
      <c r="N22" s="54">
        <f t="shared" ref="N22:N25" si="47">IFERROR(H22/D22,0)</f>
        <v>1</v>
      </c>
      <c r="O22" s="54">
        <f t="shared" ref="O22:O25" si="48">IFERROR(I22/E22,0)</f>
        <v>1</v>
      </c>
      <c r="P22" s="54">
        <f t="shared" ref="P22:P25" si="49">IFERROR(J22/F22,0)</f>
        <v>0</v>
      </c>
      <c r="Q22" s="54">
        <f t="shared" ref="Q22:Q25" si="50">IFERROR(K22/G22,0)</f>
        <v>0</v>
      </c>
      <c r="R22" s="54">
        <f t="shared" ref="R22:R25" si="51">IFERROR((H22+I22+J22+K22)/(D22+E22+F22+G22),0)</f>
        <v>0.99870665356075605</v>
      </c>
      <c r="S22" s="13" t="s">
        <v>69</v>
      </c>
      <c r="T22" s="20"/>
      <c r="U22" s="21"/>
    </row>
    <row r="23" spans="1:21" s="13" customFormat="1" ht="14.25">
      <c r="B23" s="26" t="s">
        <v>48</v>
      </c>
      <c r="C23" s="51">
        <f t="shared" si="44"/>
        <v>112962.97</v>
      </c>
      <c r="D23" s="53">
        <v>17587.62</v>
      </c>
      <c r="E23" s="53">
        <v>23338.35</v>
      </c>
      <c r="F23" s="29">
        <v>72037</v>
      </c>
      <c r="G23" s="66">
        <v>0</v>
      </c>
      <c r="H23" s="29">
        <v>17587.62</v>
      </c>
      <c r="I23" s="29">
        <v>23338.35</v>
      </c>
      <c r="J23" s="29">
        <v>86.200000000000728</v>
      </c>
      <c r="K23" s="29"/>
      <c r="L23" s="23">
        <f t="shared" si="45"/>
        <v>41012.17</v>
      </c>
      <c r="M23" s="29">
        <f t="shared" si="46"/>
        <v>71950.8</v>
      </c>
      <c r="N23" s="54">
        <f t="shared" si="47"/>
        <v>1</v>
      </c>
      <c r="O23" s="54">
        <f t="shared" si="48"/>
        <v>1</v>
      </c>
      <c r="P23" s="54">
        <f t="shared" si="49"/>
        <v>1.1966072990268991E-3</v>
      </c>
      <c r="Q23" s="54">
        <f t="shared" si="50"/>
        <v>0</v>
      </c>
      <c r="R23" s="54">
        <f t="shared" si="51"/>
        <v>0.36305853148159967</v>
      </c>
      <c r="S23" s="13" t="s">
        <v>70</v>
      </c>
      <c r="T23" s="20"/>
      <c r="U23" s="21"/>
    </row>
    <row r="24" spans="1:21" s="13" customFormat="1" ht="28.5">
      <c r="B24" s="26" t="s">
        <v>49</v>
      </c>
      <c r="C24" s="51">
        <f t="shared" si="44"/>
        <v>257999.81</v>
      </c>
      <c r="D24" s="53">
        <v>0</v>
      </c>
      <c r="E24" s="53">
        <v>40931.81</v>
      </c>
      <c r="F24" s="29">
        <v>78534</v>
      </c>
      <c r="G24" s="67">
        <f>78534+60000</f>
        <v>138534</v>
      </c>
      <c r="H24" s="29">
        <v>0</v>
      </c>
      <c r="I24" s="29">
        <v>40931.81</v>
      </c>
      <c r="J24" s="29">
        <v>116309.31</v>
      </c>
      <c r="K24" s="29"/>
      <c r="L24" s="23">
        <f t="shared" si="45"/>
        <v>157241.12</v>
      </c>
      <c r="M24" s="29">
        <f t="shared" si="46"/>
        <v>100758.69</v>
      </c>
      <c r="N24" s="54">
        <f t="shared" si="47"/>
        <v>0</v>
      </c>
      <c r="O24" s="54">
        <f t="shared" si="48"/>
        <v>1</v>
      </c>
      <c r="P24" s="54">
        <f t="shared" si="49"/>
        <v>1.4810058064023226</v>
      </c>
      <c r="Q24" s="54">
        <f t="shared" si="50"/>
        <v>0</v>
      </c>
      <c r="R24" s="54">
        <f t="shared" si="51"/>
        <v>0.60946215425507477</v>
      </c>
      <c r="S24" s="13" t="s">
        <v>71</v>
      </c>
      <c r="T24" s="20"/>
      <c r="U24" s="21"/>
    </row>
    <row r="25" spans="1:21" s="13" customFormat="1" ht="14.25">
      <c r="B25" s="26" t="s">
        <v>50</v>
      </c>
      <c r="C25" s="51">
        <f t="shared" si="44"/>
        <v>61800.14</v>
      </c>
      <c r="D25" s="53">
        <v>0</v>
      </c>
      <c r="E25" s="53">
        <v>5648.14</v>
      </c>
      <c r="F25" s="29">
        <v>28076</v>
      </c>
      <c r="G25" s="29">
        <v>28076</v>
      </c>
      <c r="H25" s="29">
        <v>0</v>
      </c>
      <c r="I25" s="29">
        <v>5648.14</v>
      </c>
      <c r="J25" s="29">
        <v>13545.98</v>
      </c>
      <c r="K25" s="29"/>
      <c r="L25" s="23">
        <f t="shared" si="45"/>
        <v>19194.12</v>
      </c>
      <c r="M25" s="29">
        <f t="shared" si="46"/>
        <v>42606.020000000004</v>
      </c>
      <c r="N25" s="54">
        <f t="shared" si="47"/>
        <v>0</v>
      </c>
      <c r="O25" s="54">
        <f t="shared" si="48"/>
        <v>1</v>
      </c>
      <c r="P25" s="54">
        <f t="shared" si="49"/>
        <v>0.48247542384955122</v>
      </c>
      <c r="Q25" s="54">
        <f t="shared" si="50"/>
        <v>0</v>
      </c>
      <c r="R25" s="54">
        <f t="shared" si="51"/>
        <v>0.31058376243160613</v>
      </c>
      <c r="S25" s="13" t="s">
        <v>72</v>
      </c>
      <c r="T25" s="20"/>
      <c r="U25" s="21"/>
    </row>
    <row r="26" spans="1:21" s="13" customFormat="1" ht="14.25">
      <c r="B26" s="26" t="s">
        <v>51</v>
      </c>
      <c r="C26" s="51">
        <f t="shared" si="44"/>
        <v>162338.79999999999</v>
      </c>
      <c r="D26" s="53">
        <v>801.82</v>
      </c>
      <c r="E26" s="53">
        <v>31414.980000000003</v>
      </c>
      <c r="F26" s="29">
        <v>65061</v>
      </c>
      <c r="G26" s="29">
        <v>65061</v>
      </c>
      <c r="H26" s="29">
        <v>801.82</v>
      </c>
      <c r="I26" s="29">
        <v>31414.980000000003</v>
      </c>
      <c r="J26" s="29">
        <v>40301.78</v>
      </c>
      <c r="K26" s="29"/>
      <c r="L26" s="23">
        <f t="shared" si="45"/>
        <v>72518.58</v>
      </c>
      <c r="M26" s="29">
        <f t="shared" si="3"/>
        <v>89820.219999999987</v>
      </c>
      <c r="N26" s="54">
        <f t="shared" si="2"/>
        <v>1</v>
      </c>
      <c r="O26" s="54">
        <f t="shared" si="2"/>
        <v>1</v>
      </c>
      <c r="P26" s="54">
        <f t="shared" si="2"/>
        <v>0.61944605831450483</v>
      </c>
      <c r="Q26" s="54">
        <f t="shared" si="2"/>
        <v>0</v>
      </c>
      <c r="R26" s="54">
        <f t="shared" si="26"/>
        <v>0.44671132224705373</v>
      </c>
      <c r="S26" s="13" t="s">
        <v>73</v>
      </c>
      <c r="T26" s="20"/>
      <c r="U26" s="21"/>
    </row>
    <row r="27" spans="1:21" s="13" customFormat="1" ht="14.25">
      <c r="B27" s="26" t="s">
        <v>52</v>
      </c>
      <c r="C27" s="51">
        <f t="shared" si="44"/>
        <v>106999.75</v>
      </c>
      <c r="D27" s="53">
        <v>0</v>
      </c>
      <c r="E27" s="53">
        <v>8214.75</v>
      </c>
      <c r="F27" s="29">
        <v>43392.5</v>
      </c>
      <c r="G27" s="67">
        <f>43392.5+12000</f>
        <v>55392.5</v>
      </c>
      <c r="H27" s="29">
        <v>0</v>
      </c>
      <c r="I27" s="29">
        <v>8214.75</v>
      </c>
      <c r="J27" s="29">
        <v>75285.679999999993</v>
      </c>
      <c r="K27" s="29"/>
      <c r="L27" s="23">
        <f t="shared" si="45"/>
        <v>83500.429999999993</v>
      </c>
      <c r="M27" s="29">
        <f t="shared" ref="M27" si="52">C27-L27</f>
        <v>23499.320000000007</v>
      </c>
      <c r="N27" s="54">
        <f t="shared" ref="N27" si="53">IFERROR(H27/D27,0)</f>
        <v>0</v>
      </c>
      <c r="O27" s="54">
        <f t="shared" ref="O27" si="54">IFERROR(I27/E27,0)</f>
        <v>1</v>
      </c>
      <c r="P27" s="54">
        <f t="shared" ref="P27" si="55">IFERROR(J27/F27,0)</f>
        <v>1.7349929135219218</v>
      </c>
      <c r="Q27" s="54">
        <f t="shared" ref="Q27" si="56">IFERROR(K27/G27,0)</f>
        <v>0</v>
      </c>
      <c r="R27" s="54">
        <f t="shared" ref="R27" si="57">IFERROR((H27+I27+J27+K27)/(D27+E27+F27+G27),0)</f>
        <v>0.78037967378428452</v>
      </c>
      <c r="S27" s="13" t="s">
        <v>74</v>
      </c>
      <c r="T27" s="20"/>
      <c r="U27" s="21"/>
    </row>
    <row r="28" spans="1:21" s="13" customFormat="1" ht="14.25">
      <c r="B28" s="26" t="s">
        <v>53</v>
      </c>
      <c r="C28" s="51">
        <f t="shared" si="44"/>
        <v>231862.04</v>
      </c>
      <c r="D28" s="53">
        <v>3263.5</v>
      </c>
      <c r="E28" s="53">
        <v>102744.54000000001</v>
      </c>
      <c r="F28" s="29">
        <v>60854</v>
      </c>
      <c r="G28" s="66">
        <v>65000</v>
      </c>
      <c r="H28" s="29">
        <f>ROUND(2675*1.22,2)</f>
        <v>3263.5</v>
      </c>
      <c r="I28" s="29">
        <v>102744.54000000001</v>
      </c>
      <c r="J28" s="29">
        <v>59244.59</v>
      </c>
      <c r="K28" s="29"/>
      <c r="L28" s="23">
        <f t="shared" si="45"/>
        <v>165252.63</v>
      </c>
      <c r="M28" s="29">
        <f t="shared" ref="M28" si="58">C28-L28</f>
        <v>66609.41</v>
      </c>
      <c r="N28" s="54">
        <f t="shared" ref="N28" si="59">IFERROR(H28/D28,0)</f>
        <v>1</v>
      </c>
      <c r="O28" s="54">
        <f t="shared" ref="O28" si="60">IFERROR(I28/E28,0)</f>
        <v>1</v>
      </c>
      <c r="P28" s="54">
        <f t="shared" ref="P28" si="61">IFERROR(J28/F28,0)</f>
        <v>0.97355292996351916</v>
      </c>
      <c r="Q28" s="54">
        <f t="shared" ref="Q28" si="62">IFERROR(K28/G28,0)</f>
        <v>0</v>
      </c>
      <c r="R28" s="54">
        <f t="shared" ref="R28" si="63">IFERROR((H28+I28+J28+K28)/(D28+E28+F28+G28),0)</f>
        <v>0.71271964138674881</v>
      </c>
      <c r="S28" s="13" t="s">
        <v>75</v>
      </c>
      <c r="T28" s="20"/>
      <c r="U28" s="21"/>
    </row>
    <row r="29" spans="1:21" s="13" customFormat="1" ht="14.25">
      <c r="A29" s="13">
        <v>1</v>
      </c>
      <c r="B29" s="26" t="s">
        <v>41</v>
      </c>
      <c r="C29" s="51">
        <f t="shared" si="44"/>
        <v>90966</v>
      </c>
      <c r="D29" s="53">
        <v>22419</v>
      </c>
      <c r="E29" s="53">
        <v>22058</v>
      </c>
      <c r="F29" s="22">
        <v>23608</v>
      </c>
      <c r="G29" s="29">
        <v>22881</v>
      </c>
      <c r="H29" s="29">
        <v>22419</v>
      </c>
      <c r="I29" s="29">
        <v>22058</v>
      </c>
      <c r="J29" s="69">
        <v>23504</v>
      </c>
      <c r="K29" s="29"/>
      <c r="L29" s="23">
        <f t="shared" si="45"/>
        <v>67981</v>
      </c>
      <c r="M29" s="29">
        <f t="shared" si="3"/>
        <v>22985</v>
      </c>
      <c r="N29" s="54">
        <f t="shared" si="2"/>
        <v>1</v>
      </c>
      <c r="O29" s="54">
        <f t="shared" si="2"/>
        <v>1</v>
      </c>
      <c r="P29" s="54">
        <f t="shared" si="2"/>
        <v>0.99559471365638763</v>
      </c>
      <c r="Q29" s="54">
        <f t="shared" si="2"/>
        <v>0</v>
      </c>
      <c r="R29" s="54">
        <f t="shared" si="26"/>
        <v>0.74732317569201678</v>
      </c>
      <c r="T29" s="20"/>
      <c r="U29" s="21"/>
    </row>
    <row r="30" spans="1:21" s="13" customFormat="1" ht="15">
      <c r="B30" s="15" t="s">
        <v>54</v>
      </c>
      <c r="C30" s="52">
        <f>SUM(C31:C32)</f>
        <v>312673.32714285713</v>
      </c>
      <c r="D30" s="52">
        <f t="shared" ref="D30:M30" si="64">SUM(D31:D32)</f>
        <v>54107.83</v>
      </c>
      <c r="E30" s="52">
        <f t="shared" si="64"/>
        <v>55544.639999999999</v>
      </c>
      <c r="F30" s="52">
        <f t="shared" si="64"/>
        <v>136234</v>
      </c>
      <c r="G30" s="52">
        <f t="shared" si="64"/>
        <v>66786.857142857145</v>
      </c>
      <c r="H30" s="52">
        <f t="shared" si="64"/>
        <v>54107.83</v>
      </c>
      <c r="I30" s="52">
        <f t="shared" si="64"/>
        <v>55544.639999999999</v>
      </c>
      <c r="J30" s="52">
        <f t="shared" si="64"/>
        <v>47966.020000000004</v>
      </c>
      <c r="K30" s="52">
        <f t="shared" si="64"/>
        <v>0</v>
      </c>
      <c r="L30" s="52">
        <f>SUM(L31:L32)</f>
        <v>157618.49</v>
      </c>
      <c r="M30" s="52">
        <f t="shared" si="64"/>
        <v>155054.83714285714</v>
      </c>
      <c r="N30" s="19">
        <f>IFERROR(H30/D30,0)</f>
        <v>1</v>
      </c>
      <c r="O30" s="19">
        <f t="shared" ref="O30:O36" si="65">IFERROR(I30/E30,0)</f>
        <v>1</v>
      </c>
      <c r="P30" s="19">
        <f t="shared" ref="P30:P36" si="66">IFERROR(J30/F30,0)</f>
        <v>0.35208552930986392</v>
      </c>
      <c r="Q30" s="19">
        <f t="shared" ref="Q30:Q36" si="67">IFERROR(K30/G30,0)</f>
        <v>0</v>
      </c>
      <c r="R30" s="19">
        <f t="shared" ref="R30:R36" si="68">IFERROR((H30+I30+J30+K30)/(D30+E30+F30+G30),0)</f>
        <v>0.50409957075739231</v>
      </c>
      <c r="T30" s="20"/>
      <c r="U30" s="21"/>
    </row>
    <row r="31" spans="1:21" s="13" customFormat="1" ht="28.5">
      <c r="B31" s="26" t="s">
        <v>55</v>
      </c>
      <c r="C31" s="51">
        <f>SUM(D31:G31)</f>
        <v>253499.47</v>
      </c>
      <c r="D31" s="31">
        <v>54107.83</v>
      </c>
      <c r="E31" s="31">
        <v>55544.639999999999</v>
      </c>
      <c r="F31" s="32">
        <v>106647</v>
      </c>
      <c r="G31" s="32">
        <v>37200</v>
      </c>
      <c r="H31" s="33">
        <v>54107.83</v>
      </c>
      <c r="I31" s="33">
        <v>55544.639999999999</v>
      </c>
      <c r="J31" s="33">
        <v>32847.94</v>
      </c>
      <c r="K31" s="23"/>
      <c r="L31" s="23">
        <f t="shared" ref="L31:L32" si="69">SUM(H31:K31)</f>
        <v>142500.41</v>
      </c>
      <c r="M31" s="32">
        <f t="shared" ref="M31:M36" si="70">C31-L31</f>
        <v>110999.06</v>
      </c>
      <c r="N31" s="34">
        <f t="shared" ref="N31:N36" si="71">IFERROR(H31/D31,0)</f>
        <v>1</v>
      </c>
      <c r="O31" s="34">
        <f t="shared" si="65"/>
        <v>1</v>
      </c>
      <c r="P31" s="34">
        <f t="shared" si="66"/>
        <v>0.30800622614794604</v>
      </c>
      <c r="Q31" s="34">
        <f t="shared" si="67"/>
        <v>0</v>
      </c>
      <c r="R31" s="34">
        <f t="shared" si="68"/>
        <v>0.56213297013993757</v>
      </c>
      <c r="S31" s="62" t="s">
        <v>76</v>
      </c>
      <c r="T31" s="20"/>
      <c r="U31" s="21"/>
    </row>
    <row r="32" spans="1:21" s="13" customFormat="1" ht="14.25">
      <c r="A32" s="13">
        <v>1</v>
      </c>
      <c r="B32" s="26" t="s">
        <v>81</v>
      </c>
      <c r="C32" s="51">
        <f>SUM(D32:G32)</f>
        <v>59173.857142857145</v>
      </c>
      <c r="D32" s="63">
        <v>0</v>
      </c>
      <c r="E32" s="63">
        <v>0</v>
      </c>
      <c r="F32" s="64">
        <v>29587</v>
      </c>
      <c r="G32" s="64">
        <v>29586.857142857141</v>
      </c>
      <c r="H32" s="23">
        <v>0</v>
      </c>
      <c r="I32" s="23">
        <v>0</v>
      </c>
      <c r="J32" s="70">
        <v>15118.08</v>
      </c>
      <c r="K32" s="23"/>
      <c r="L32" s="23">
        <f t="shared" si="69"/>
        <v>15118.08</v>
      </c>
      <c r="M32" s="32">
        <f t="shared" si="70"/>
        <v>44055.777142857143</v>
      </c>
      <c r="N32" s="65">
        <f t="shared" si="71"/>
        <v>0</v>
      </c>
      <c r="O32" s="65">
        <f t="shared" si="65"/>
        <v>0</v>
      </c>
      <c r="P32" s="65"/>
      <c r="Q32" s="65"/>
      <c r="R32" s="65">
        <f t="shared" si="68"/>
        <v>0.25548579609238636</v>
      </c>
      <c r="S32" s="62"/>
      <c r="T32" s="20"/>
      <c r="U32" s="21"/>
    </row>
    <row r="33" spans="1:21" s="13" customFormat="1" ht="15">
      <c r="B33" s="15" t="s">
        <v>56</v>
      </c>
      <c r="C33" s="16">
        <f>SUM(C34)</f>
        <v>22881.599999999999</v>
      </c>
      <c r="D33" s="16">
        <f t="shared" ref="D33" si="72">SUM(D34)</f>
        <v>0</v>
      </c>
      <c r="E33" s="16">
        <f t="shared" ref="E33" si="73">SUM(E34)</f>
        <v>0</v>
      </c>
      <c r="F33" s="16">
        <f t="shared" ref="F33" si="74">SUM(F34)</f>
        <v>0</v>
      </c>
      <c r="G33" s="16">
        <f t="shared" ref="G33" si="75">SUM(G34)</f>
        <v>22881.599999999999</v>
      </c>
      <c r="H33" s="18">
        <f>SUM(H34:H34)</f>
        <v>0</v>
      </c>
      <c r="I33" s="18">
        <f>SUM(I34:I34)</f>
        <v>0</v>
      </c>
      <c r="J33" s="18">
        <f>SUM(J34:J34)</f>
        <v>0</v>
      </c>
      <c r="K33" s="18">
        <f>SUM(K34:K34)</f>
        <v>0</v>
      </c>
      <c r="L33" s="18">
        <f>SUM(L34:L34)</f>
        <v>0</v>
      </c>
      <c r="M33" s="17">
        <f t="shared" si="70"/>
        <v>22881.599999999999</v>
      </c>
      <c r="N33" s="19">
        <f t="shared" si="71"/>
        <v>0</v>
      </c>
      <c r="O33" s="19">
        <f t="shared" si="65"/>
        <v>0</v>
      </c>
      <c r="P33" s="19">
        <f t="shared" si="66"/>
        <v>0</v>
      </c>
      <c r="Q33" s="19">
        <f t="shared" si="67"/>
        <v>0</v>
      </c>
      <c r="R33" s="19">
        <f t="shared" si="68"/>
        <v>0</v>
      </c>
      <c r="T33" s="20"/>
      <c r="U33" s="21"/>
    </row>
    <row r="34" spans="1:21" s="13" customFormat="1" ht="14.25">
      <c r="A34" s="13">
        <v>1</v>
      </c>
      <c r="B34" s="26" t="s">
        <v>41</v>
      </c>
      <c r="C34" s="51">
        <f>SUM(D34:G34)</f>
        <v>22881.599999999999</v>
      </c>
      <c r="D34" s="31"/>
      <c r="E34" s="31">
        <v>0</v>
      </c>
      <c r="F34" s="32">
        <v>0</v>
      </c>
      <c r="G34" s="32">
        <v>22881.599999999999</v>
      </c>
      <c r="H34" s="33">
        <v>0</v>
      </c>
      <c r="I34" s="33">
        <v>0</v>
      </c>
      <c r="J34" s="71">
        <v>0</v>
      </c>
      <c r="K34" s="23"/>
      <c r="L34" s="23">
        <f t="shared" ref="L34" si="76">SUM(H34:K34)</f>
        <v>0</v>
      </c>
      <c r="M34" s="32">
        <f t="shared" si="70"/>
        <v>22881.599999999999</v>
      </c>
      <c r="N34" s="34">
        <f t="shared" si="71"/>
        <v>0</v>
      </c>
      <c r="O34" s="34">
        <f t="shared" si="65"/>
        <v>0</v>
      </c>
      <c r="P34" s="34">
        <f t="shared" si="66"/>
        <v>0</v>
      </c>
      <c r="Q34" s="34">
        <f t="shared" si="67"/>
        <v>0</v>
      </c>
      <c r="R34" s="34">
        <f t="shared" si="68"/>
        <v>0</v>
      </c>
      <c r="T34" s="20"/>
      <c r="U34" s="21"/>
    </row>
    <row r="35" spans="1:21" s="13" customFormat="1" ht="15">
      <c r="B35" s="15" t="s">
        <v>82</v>
      </c>
      <c r="C35" s="16">
        <f>SUM(C36)</f>
        <v>87672</v>
      </c>
      <c r="D35" s="16">
        <f t="shared" ref="D35:G37" si="77">SUM(D36)</f>
        <v>0</v>
      </c>
      <c r="E35" s="16">
        <f t="shared" si="77"/>
        <v>0</v>
      </c>
      <c r="F35" s="16">
        <f t="shared" si="77"/>
        <v>8559</v>
      </c>
      <c r="G35" s="16">
        <f t="shared" si="77"/>
        <v>79113</v>
      </c>
      <c r="H35" s="18">
        <f>SUM(H36:H36)</f>
        <v>0</v>
      </c>
      <c r="I35" s="18">
        <f>SUM(I36:I36)</f>
        <v>0</v>
      </c>
      <c r="J35" s="18">
        <f>SUM(J36:J36)</f>
        <v>9649.69</v>
      </c>
      <c r="K35" s="18">
        <f>SUM(K36:K36)</f>
        <v>0</v>
      </c>
      <c r="L35" s="18">
        <f>SUM(L36:L36)</f>
        <v>9649.69</v>
      </c>
      <c r="M35" s="17">
        <f t="shared" si="70"/>
        <v>78022.31</v>
      </c>
      <c r="N35" s="19">
        <f t="shared" si="71"/>
        <v>0</v>
      </c>
      <c r="O35" s="19">
        <f t="shared" si="65"/>
        <v>0</v>
      </c>
      <c r="P35" s="19">
        <f t="shared" si="66"/>
        <v>1.1274319429839934</v>
      </c>
      <c r="Q35" s="19">
        <f t="shared" si="67"/>
        <v>0</v>
      </c>
      <c r="R35" s="19">
        <f t="shared" si="68"/>
        <v>0.110065813486632</v>
      </c>
      <c r="T35" s="20"/>
      <c r="U35" s="21"/>
    </row>
    <row r="36" spans="1:21" s="13" customFormat="1" ht="14.25">
      <c r="B36" s="26" t="s">
        <v>83</v>
      </c>
      <c r="C36" s="51">
        <f>SUM(D36:G36)</f>
        <v>87672</v>
      </c>
      <c r="D36" s="31">
        <v>0</v>
      </c>
      <c r="E36" s="31">
        <v>0</v>
      </c>
      <c r="F36" s="32">
        <v>8559</v>
      </c>
      <c r="G36" s="32">
        <v>79113</v>
      </c>
      <c r="H36" s="33">
        <v>0</v>
      </c>
      <c r="I36" s="33">
        <f>5991-5991</f>
        <v>0</v>
      </c>
      <c r="J36" s="33">
        <v>9649.69</v>
      </c>
      <c r="K36" s="23"/>
      <c r="L36" s="23">
        <f t="shared" ref="L36" si="78">SUM(H36:K36)</f>
        <v>9649.69</v>
      </c>
      <c r="M36" s="32">
        <f t="shared" si="70"/>
        <v>78022.31</v>
      </c>
      <c r="N36" s="34">
        <f t="shared" si="71"/>
        <v>0</v>
      </c>
      <c r="O36" s="34">
        <f t="shared" si="65"/>
        <v>0</v>
      </c>
      <c r="P36" s="34">
        <f t="shared" si="66"/>
        <v>1.1274319429839934</v>
      </c>
      <c r="Q36" s="34">
        <f t="shared" si="67"/>
        <v>0</v>
      </c>
      <c r="R36" s="34">
        <f t="shared" si="68"/>
        <v>0.110065813486632</v>
      </c>
      <c r="T36" s="20"/>
      <c r="U36" s="21"/>
    </row>
    <row r="37" spans="1:21" s="13" customFormat="1" ht="15">
      <c r="B37" s="15" t="s">
        <v>34</v>
      </c>
      <c r="C37" s="16">
        <f>SUM(C38)</f>
        <v>0</v>
      </c>
      <c r="D37" s="16">
        <f t="shared" si="77"/>
        <v>0</v>
      </c>
      <c r="E37" s="16">
        <f t="shared" si="77"/>
        <v>0</v>
      </c>
      <c r="F37" s="16">
        <f t="shared" si="77"/>
        <v>0</v>
      </c>
      <c r="G37" s="16">
        <f t="shared" si="77"/>
        <v>0</v>
      </c>
      <c r="H37" s="18">
        <f>SUM(H38:H38)</f>
        <v>0</v>
      </c>
      <c r="I37" s="18">
        <f>SUM(I38:I38)</f>
        <v>0</v>
      </c>
      <c r="J37" s="18">
        <f>SUM(J38:J38)</f>
        <v>0</v>
      </c>
      <c r="K37" s="18">
        <f>SUM(K38:K38)</f>
        <v>0</v>
      </c>
      <c r="L37" s="18">
        <f>SUM(L38:L38)</f>
        <v>0</v>
      </c>
      <c r="M37" s="17">
        <f t="shared" si="3"/>
        <v>0</v>
      </c>
      <c r="N37" s="19">
        <f t="shared" si="2"/>
        <v>0</v>
      </c>
      <c r="O37" s="19">
        <f t="shared" si="2"/>
        <v>0</v>
      </c>
      <c r="P37" s="19">
        <f t="shared" si="2"/>
        <v>0</v>
      </c>
      <c r="Q37" s="19">
        <f t="shared" si="2"/>
        <v>0</v>
      </c>
      <c r="R37" s="19">
        <f t="shared" si="26"/>
        <v>0</v>
      </c>
      <c r="T37" s="20"/>
      <c r="U37" s="21"/>
    </row>
    <row r="38" spans="1:21" s="13" customFormat="1" ht="14.25">
      <c r="A38" s="13">
        <v>1</v>
      </c>
      <c r="B38" s="26" t="s">
        <v>57</v>
      </c>
      <c r="C38" s="51">
        <f>SUM(D38:G38)</f>
        <v>0</v>
      </c>
      <c r="D38" s="31"/>
      <c r="E38" s="31">
        <v>0</v>
      </c>
      <c r="F38" s="32">
        <v>0</v>
      </c>
      <c r="G38" s="32">
        <v>0</v>
      </c>
      <c r="H38" s="33">
        <v>0</v>
      </c>
      <c r="I38" s="33">
        <f>5991-5991</f>
        <v>0</v>
      </c>
      <c r="J38" s="71">
        <v>0</v>
      </c>
      <c r="K38" s="23"/>
      <c r="L38" s="23">
        <f t="shared" ref="L38" si="79">SUM(H38:K38)</f>
        <v>0</v>
      </c>
      <c r="M38" s="32">
        <f t="shared" si="3"/>
        <v>0</v>
      </c>
      <c r="N38" s="34">
        <f t="shared" si="2"/>
        <v>0</v>
      </c>
      <c r="O38" s="34">
        <f t="shared" si="2"/>
        <v>0</v>
      </c>
      <c r="P38" s="34">
        <f t="shared" si="2"/>
        <v>0</v>
      </c>
      <c r="Q38" s="34">
        <f t="shared" si="2"/>
        <v>0</v>
      </c>
      <c r="R38" s="34">
        <f t="shared" si="26"/>
        <v>0</v>
      </c>
      <c r="T38" s="20"/>
      <c r="U38" s="21"/>
    </row>
    <row r="39" spans="1:21" s="13" customFormat="1" ht="32.1" customHeight="1">
      <c r="A39" s="9"/>
      <c r="B39" s="35" t="s">
        <v>13</v>
      </c>
      <c r="C39" s="37">
        <f t="shared" ref="C39:I39" si="80">SUMIF($A$4:$A$38,"1",C4:C38)</f>
        <v>416705.55714285711</v>
      </c>
      <c r="D39" s="37">
        <f t="shared" si="80"/>
        <v>61186</v>
      </c>
      <c r="E39" s="37">
        <f t="shared" si="80"/>
        <v>79362</v>
      </c>
      <c r="F39" s="37">
        <f t="shared" si="80"/>
        <v>105934</v>
      </c>
      <c r="G39" s="37">
        <f t="shared" si="80"/>
        <v>170223.55714285714</v>
      </c>
      <c r="H39" s="37">
        <f t="shared" si="80"/>
        <v>61186</v>
      </c>
      <c r="I39" s="37">
        <f t="shared" si="80"/>
        <v>79361.959999999992</v>
      </c>
      <c r="J39" s="37">
        <f>SUMIF($A$4:$A$38,"1",J4:J38)</f>
        <v>86565.183999999994</v>
      </c>
      <c r="K39" s="37">
        <f>SUMIF($A$4:$A$38,"1",K4:K38)</f>
        <v>0</v>
      </c>
      <c r="L39" s="37">
        <f t="shared" ref="L39" si="81">SUMIF($A$4:$A$38,"1",L4:L38)</f>
        <v>227113.144</v>
      </c>
      <c r="M39" s="37">
        <f>C39-H39-I39-J39-K39</f>
        <v>189592.41314285714</v>
      </c>
      <c r="N39" s="38">
        <f t="shared" ref="N39:O41" si="82">H39/D39</f>
        <v>1</v>
      </c>
      <c r="O39" s="38">
        <f t="shared" si="82"/>
        <v>0.99999949598044391</v>
      </c>
      <c r="P39" s="38"/>
      <c r="Q39" s="38"/>
      <c r="R39" s="38">
        <f>IFERROR((H39+I39+J39+K39)/(D39+E39+F39+G39),0)</f>
        <v>0.54502067492740414</v>
      </c>
      <c r="T39" s="20"/>
      <c r="U39" s="21"/>
    </row>
    <row r="40" spans="1:21" ht="15.95" customHeight="1">
      <c r="B40" s="39" t="s">
        <v>14</v>
      </c>
      <c r="C40" s="41">
        <f>SUM(D40:G40)</f>
        <v>2772821.76</v>
      </c>
      <c r="D40" s="41">
        <f t="shared" ref="D40:I40" si="83">D41-D39</f>
        <v>449781.00800000009</v>
      </c>
      <c r="E40" s="41">
        <f t="shared" si="83"/>
        <v>421956.75199999998</v>
      </c>
      <c r="F40" s="41">
        <f t="shared" si="83"/>
        <v>716051.5</v>
      </c>
      <c r="G40" s="41">
        <f t="shared" si="83"/>
        <v>1185032.5</v>
      </c>
      <c r="H40" s="41">
        <f t="shared" si="83"/>
        <v>449781.00800000009</v>
      </c>
      <c r="I40" s="41">
        <f t="shared" si="83"/>
        <v>421956.75199999998</v>
      </c>
      <c r="J40" s="41">
        <f>J41-J39</f>
        <v>487391.81999999995</v>
      </c>
      <c r="K40" s="41">
        <f>K41-K39</f>
        <v>0</v>
      </c>
      <c r="L40" s="41">
        <f>L41-L39</f>
        <v>1359129.58</v>
      </c>
      <c r="M40" s="41">
        <f>C40-H40-I40-J40-K40</f>
        <v>1413692.1800000002</v>
      </c>
      <c r="N40" s="42">
        <f t="shared" si="82"/>
        <v>1</v>
      </c>
      <c r="O40" s="42">
        <f t="shared" si="82"/>
        <v>1</v>
      </c>
      <c r="P40" s="42"/>
      <c r="Q40" s="42"/>
      <c r="R40" s="42">
        <f t="shared" si="26"/>
        <v>0.49016117790420116</v>
      </c>
      <c r="T40" s="20"/>
      <c r="U40" s="21"/>
    </row>
    <row r="41" spans="1:21" ht="15.95" customHeight="1">
      <c r="B41" s="43" t="s">
        <v>15</v>
      </c>
      <c r="C41" s="44">
        <f>SUM(D41:G41)</f>
        <v>3189527.3171428572</v>
      </c>
      <c r="D41" s="44">
        <f>D4+D7+D11+D20+D30+D33+D37+D35</f>
        <v>510967.00800000009</v>
      </c>
      <c r="E41" s="44">
        <f t="shared" ref="E41:F41" si="84">E4+E7+E11+E20+E30+E33+E37+E35</f>
        <v>501318.75199999998</v>
      </c>
      <c r="F41" s="44">
        <f t="shared" si="84"/>
        <v>821985.5</v>
      </c>
      <c r="G41" s="44">
        <f>G4+G7+G11+G20+G30+G33+G37+G35</f>
        <v>1355256.0571428572</v>
      </c>
      <c r="H41" s="44">
        <f>H4+H11+H20+H37+H33+H30+H7</f>
        <v>510967.00800000009</v>
      </c>
      <c r="I41" s="44">
        <f>I4+I11+I20+I37+I33+I30+I7</f>
        <v>501318.712</v>
      </c>
      <c r="J41" s="44">
        <f>J4+J11+J20+J37+J7+J30+J33+J35</f>
        <v>573957.00399999996</v>
      </c>
      <c r="K41" s="44">
        <f>K4+K11+K20+K37+K7+K30+K33+K35</f>
        <v>0</v>
      </c>
      <c r="L41" s="44">
        <f>L4+L11+L20+L37+L7+L30+L33+L35</f>
        <v>1586242.7240000002</v>
      </c>
      <c r="M41" s="44">
        <f>C41-H41-I41-J41-K41</f>
        <v>1603284.5931428575</v>
      </c>
      <c r="N41" s="45">
        <f t="shared" si="82"/>
        <v>1</v>
      </c>
      <c r="O41" s="45">
        <f t="shared" si="82"/>
        <v>0.99999992021044526</v>
      </c>
      <c r="P41" s="45"/>
      <c r="Q41" s="45"/>
      <c r="R41" s="45">
        <f t="shared" si="26"/>
        <v>0.49732846477732578</v>
      </c>
      <c r="T41" s="20"/>
      <c r="U41" s="21"/>
    </row>
    <row r="42" spans="1:21" ht="15.95" customHeight="1">
      <c r="B42" s="35" t="s">
        <v>36</v>
      </c>
      <c r="C42" s="36"/>
      <c r="D42" s="46"/>
      <c r="E42" s="37"/>
      <c r="F42" s="37"/>
      <c r="G42" s="37">
        <f>D41+E41+F41+G41</f>
        <v>3189527.3171428572</v>
      </c>
      <c r="H42" s="46"/>
      <c r="I42" s="37"/>
      <c r="J42" s="37"/>
      <c r="K42" s="37"/>
      <c r="L42" s="37"/>
      <c r="M42" s="37"/>
      <c r="N42" s="38"/>
      <c r="O42" s="38"/>
      <c r="P42" s="38"/>
      <c r="Q42" s="38"/>
      <c r="R42" s="38"/>
      <c r="T42" s="20"/>
      <c r="U42" s="21"/>
    </row>
    <row r="43" spans="1:21" ht="15.95" customHeight="1">
      <c r="D43" s="47"/>
      <c r="E43" s="47"/>
    </row>
    <row r="44" spans="1:21" ht="15.95" customHeight="1">
      <c r="B44" s="48"/>
      <c r="M44" s="49"/>
    </row>
    <row r="45" spans="1:21" ht="15.95" customHeight="1">
      <c r="G45" s="49"/>
      <c r="L45" s="50"/>
      <c r="M45" s="49"/>
    </row>
    <row r="46" spans="1:21" ht="15.95" customHeight="1">
      <c r="D46" s="49"/>
      <c r="L46" s="50"/>
      <c r="M46" s="49"/>
    </row>
    <row r="47" spans="1:21" ht="15.95" customHeight="1">
      <c r="L47" s="50"/>
      <c r="M47" s="49"/>
    </row>
    <row r="49" spans="4:4" ht="15.95" customHeight="1">
      <c r="D49" s="49"/>
    </row>
    <row r="51" spans="4:4" ht="15.95" customHeight="1">
      <c r="D51" s="49"/>
    </row>
    <row r="52" spans="4:4" ht="15.95" customHeight="1">
      <c r="D52" s="49"/>
    </row>
    <row r="53" spans="4:4" ht="15.95" customHeight="1">
      <c r="D53" s="49"/>
    </row>
  </sheetData>
  <autoFilter ref="A3:O42" xr:uid="{30D263DF-C9AA-E144-A1C0-5C5F1D37A725}"/>
  <mergeCells count="1">
    <mergeCell ref="D1:O1"/>
  </mergeCells>
  <conditionalFormatting sqref="D21:K22 D23:F23 H23:K23 D24:K27 D28:F28 H28:K28 D29:E29 G29:I29 K29">
    <cfRule type="cellIs" dxfId="12" priority="12" operator="lessThan">
      <formula>0</formula>
    </cfRule>
  </conditionalFormatting>
  <conditionalFormatting sqref="D31:K32">
    <cfRule type="cellIs" dxfId="11" priority="10" operator="lessThan">
      <formula>0</formula>
    </cfRule>
  </conditionalFormatting>
  <conditionalFormatting sqref="D34:K34">
    <cfRule type="cellIs" dxfId="10" priority="7" operator="lessThan">
      <formula>0</formula>
    </cfRule>
  </conditionalFormatting>
  <conditionalFormatting sqref="D36:K36">
    <cfRule type="cellIs" dxfId="9" priority="3" operator="lessThan">
      <formula>0</formula>
    </cfRule>
  </conditionalFormatting>
  <conditionalFormatting sqref="D38:K38">
    <cfRule type="cellIs" dxfId="8" priority="44" operator="lessThan">
      <formula>0</formula>
    </cfRule>
  </conditionalFormatting>
  <conditionalFormatting sqref="M5:M29">
    <cfRule type="cellIs" dxfId="7" priority="11" operator="lessThan">
      <formula>-1</formula>
    </cfRule>
  </conditionalFormatting>
  <conditionalFormatting sqref="M31:M41">
    <cfRule type="cellIs" dxfId="6" priority="1" operator="lessThan">
      <formula>-1</formula>
    </cfRule>
  </conditionalFormatting>
  <conditionalFormatting sqref="N39:O41">
    <cfRule type="cellIs" dxfId="5" priority="4" operator="lessThan">
      <formula>-1</formula>
    </cfRule>
  </conditionalFormatting>
  <conditionalFormatting sqref="N21:R29">
    <cfRule type="cellIs" dxfId="4" priority="13" operator="lessThan">
      <formula>0</formula>
    </cfRule>
  </conditionalFormatting>
  <conditionalFormatting sqref="N31:R32">
    <cfRule type="cellIs" dxfId="3" priority="9" operator="lessThan">
      <formula>0</formula>
    </cfRule>
  </conditionalFormatting>
  <conditionalFormatting sqref="N34:R34">
    <cfRule type="cellIs" dxfId="2" priority="6" operator="lessThan">
      <formula>0</formula>
    </cfRule>
  </conditionalFormatting>
  <conditionalFormatting sqref="N36:R36">
    <cfRule type="cellIs" dxfId="1" priority="2" operator="lessThan">
      <formula>0</formula>
    </cfRule>
  </conditionalFormatting>
  <conditionalFormatting sqref="N38:R38">
    <cfRule type="cellIs" dxfId="0" priority="42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LISA 4</vt:lpstr>
      <vt:lpstr>LISA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Kirsika Nahkur</dc:creator>
  <cp:lastModifiedBy>Kirsika Nahkur</cp:lastModifiedBy>
  <dcterms:created xsi:type="dcterms:W3CDTF">2025-04-16T11:22:58Z</dcterms:created>
  <dcterms:modified xsi:type="dcterms:W3CDTF">2025-10-21T11:47:25Z</dcterms:modified>
</cp:coreProperties>
</file>